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Administrador\Desktop\"/>
    </mc:Choice>
  </mc:AlternateContent>
  <xr:revisionPtr revIDLastSave="0" documentId="13_ncr:1_{CAF73877-B68E-43AB-BE68-AED3C54EC16E}" xr6:coauthVersionLast="45" xr6:coauthVersionMax="45" xr10:uidLastSave="{00000000-0000-0000-0000-000000000000}"/>
  <bookViews>
    <workbookView xWindow="-120" yWindow="-120" windowWidth="20640" windowHeight="11160" tabRatio="889" activeTab="2" xr2:uid="{00000000-000D-0000-FFFF-FFFF00000000}"/>
  </bookViews>
  <sheets>
    <sheet name="FORM-1" sheetId="13" r:id="rId1"/>
    <sheet name="FORM-2" sheetId="36" r:id="rId2"/>
    <sheet name="FORM-3" sheetId="29" r:id="rId3"/>
    <sheet name="FORM-4" sheetId="37" r:id="rId4"/>
    <sheet name="FORM-4 (A)" sheetId="41" r:id="rId5"/>
    <sheet name="FORM-5" sheetId="16" state="hidden" r:id="rId6"/>
    <sheet name="FORM-5(A)Info Consultorías" sheetId="31" state="hidden" r:id="rId7"/>
    <sheet name="FORM-6 " sheetId="22" state="hidden" r:id="rId8"/>
    <sheet name="FORM-6 ResumenPppto" sheetId="20" state="hidden" r:id="rId9"/>
    <sheet name="Form.Obras y Bienes" sheetId="32" state="hidden" r:id="rId10"/>
  </sheets>
  <definedNames>
    <definedName name="_xlnm.Print_Area" localSheetId="9">'Form.Obras y Bienes'!$A$1:$G$34</definedName>
    <definedName name="_xlnm.Print_Area" localSheetId="0">'FORM-1'!$A$1:$D$48</definedName>
    <definedName name="_xlnm.Print_Area" localSheetId="2">'FORM-3'!$A$1:$AK$336</definedName>
    <definedName name="_xlnm.Print_Area" localSheetId="3">'FORM-4'!$A$1:$V$17</definedName>
    <definedName name="_xlnm.Print_Area" localSheetId="4">'FORM-4 (A)'!$A$1:$U$19</definedName>
    <definedName name="_xlnm.Print_Area" localSheetId="5">'FORM-5'!$A$1:$H$28</definedName>
    <definedName name="_xlnm.Print_Area" localSheetId="6">'FORM-5(A)Info Consultorías'!$A$1:$J$59</definedName>
    <definedName name="_xlnm.Print_Area" localSheetId="7">'FORM-6 '!$A$1:$R$293</definedName>
    <definedName name="_xlnm.Print_Area" localSheetId="8">'FORM-6 ResumenPppto'!$A$1:$C$66</definedName>
    <definedName name="CuartoTRIM" localSheetId="1">#REF!</definedName>
    <definedName name="CuartoTRIM" localSheetId="2">'FORM-3'!$A$1:$AK$332</definedName>
    <definedName name="CuartoTRIM" localSheetId="3">#REF!</definedName>
    <definedName name="CuartoTRIM" localSheetId="4">#REF!</definedName>
    <definedName name="CuartoTRIM" localSheetId="7">#REF!</definedName>
    <definedName name="CuartoTRIM">#REF!</definedName>
    <definedName name="DSDF" localSheetId="1">#REF!</definedName>
    <definedName name="DSDF" localSheetId="4">#REF!</definedName>
    <definedName name="DSDF">#REF!</definedName>
    <definedName name="FDSFD" localSheetId="4">#REF!</definedName>
    <definedName name="FDSFD">#REF!</definedName>
    <definedName name="fomula44" localSheetId="4">#REF!</definedName>
    <definedName name="fomula44">#REF!</definedName>
    <definedName name="Inicio" localSheetId="0">'FORM-1'!$A$1:$S$108</definedName>
    <definedName name="Inicio" localSheetId="1">'FORM-2'!$A$6:$K$89</definedName>
    <definedName name="Inicio" localSheetId="2">'FORM-3'!$A$1:$X$336</definedName>
    <definedName name="Inicio" localSheetId="3">#REF!</definedName>
    <definedName name="Inicio" localSheetId="4">#REF!</definedName>
    <definedName name="Inicio" localSheetId="7">#REF!</definedName>
    <definedName name="Inicio">#REF!</definedName>
    <definedName name="PrimerTRIM" localSheetId="0">'FORM-1'!$A$1:$AG$108</definedName>
    <definedName name="PrimerTRIM" localSheetId="1">'FORM-2'!$A$6:$X$89</definedName>
    <definedName name="PrimerTRIM" localSheetId="2">'FORM-3'!$A$1:$AK$332</definedName>
    <definedName name="PrimerTRIM" localSheetId="3">#REF!</definedName>
    <definedName name="PrimerTRIM" localSheetId="4">#REF!</definedName>
    <definedName name="PrimerTRIM" localSheetId="7">#REF!</definedName>
    <definedName name="PrimerTRIM">#REF!</definedName>
    <definedName name="rrg" localSheetId="4">#REF!</definedName>
    <definedName name="rrg">#REF!</definedName>
    <definedName name="RTRT" localSheetId="4">#REF!</definedName>
    <definedName name="RTRT">#REF!</definedName>
    <definedName name="SegundoTRIM" localSheetId="1">#REF!</definedName>
    <definedName name="SegundoTRIM" localSheetId="2">'FORM-3'!$A$1:$AK$332</definedName>
    <definedName name="SegundoTRIM" localSheetId="3">#REF!</definedName>
    <definedName name="SegundoTRIM" localSheetId="4">#REF!</definedName>
    <definedName name="SegundoTRIM" localSheetId="7">#REF!</definedName>
    <definedName name="SegundoTRIM">#REF!</definedName>
    <definedName name="TercerTRIM" localSheetId="1">#REF!</definedName>
    <definedName name="TercerTRIM" localSheetId="2">'FORM-3'!$A$1:$AK$332</definedName>
    <definedName name="TercerTRIM" localSheetId="3">#REF!</definedName>
    <definedName name="TercerTRIM" localSheetId="4">#REF!</definedName>
    <definedName name="TercerTRIM" localSheetId="7">#REF!</definedName>
    <definedName name="TercerTRIM">#REF!</definedName>
    <definedName name="_xlnm.Print_Titles" localSheetId="0">'FORM-1'!$1:$1</definedName>
    <definedName name="_xlnm.Print_Titles" localSheetId="1">'FORM-2'!$8:$8</definedName>
    <definedName name="_xlnm.Print_Titles" localSheetId="2">'FORM-3'!$1:$5</definedName>
    <definedName name="_xlnm.Print_Titles" localSheetId="3">'FORM-4'!$1:$6</definedName>
    <definedName name="_xlnm.Print_Titles" localSheetId="4">'FORM-4 (A)'!$1:$6</definedName>
    <definedName name="_xlnm.Print_Titles" localSheetId="5">'FORM-5'!$19:$20</definedName>
    <definedName name="_xlnm.Print_Titles" localSheetId="7">'FORM-6 '!$4:$6</definedName>
    <definedName name="_xlnm.Print_Titles" localSheetId="8">'FORM-6 ResumenPppto'!$4:$4</definedName>
    <definedName name="XXXX" localSheetId="9">#REF!</definedName>
    <definedName name="XXXX" localSheetId="1">#REF!</definedName>
    <definedName name="XXXX" localSheetId="3">#REF!</definedName>
    <definedName name="XXXX" localSheetId="4">#REF!</definedName>
    <definedName name="XXXX" localSheetId="6">#REF!</definedName>
    <definedName name="XXXX">#REF!</definedName>
    <definedName name="Z_4603AFA5_77F1_11D8_8A7B_00D0096B4312_.wvu.Cols" localSheetId="0" hidden="1">'FORM-1'!$W:$AE</definedName>
    <definedName name="Z_4603AFA5_77F1_11D8_8A7B_00D0096B4312_.wvu.Cols" localSheetId="1" hidden="1">'FORM-2'!$N:$V</definedName>
    <definedName name="Z_4603AFA5_77F1_11D8_8A7B_00D0096B4312_.wvu.PrintArea" localSheetId="0" hidden="1">'FORM-1'!$A$1:$AG$108</definedName>
    <definedName name="Z_4603AFA5_77F1_11D8_8A7B_00D0096B4312_.wvu.PrintArea" localSheetId="1" hidden="1">'FORM-2'!$A$6:$X$89</definedName>
    <definedName name="Z_4603AFA5_77F1_11D8_8A7B_00D0096B4312_.wvu.PrintTitles" localSheetId="0" hidden="1">'FORM-1'!$1:$1</definedName>
    <definedName name="Z_4603AFA5_77F1_11D8_8A7B_00D0096B4312_.wvu.PrintTitles" localSheetId="1" hidden="1">'FORM-2'!$6:$7</definedName>
    <definedName name="Z_65FA5ACB_C39D_4365_B3D5_4B9C915C7E67_.wvu.Cols" localSheetId="0" hidden="1">'FORM-1'!$W:$AE</definedName>
    <definedName name="Z_65FA5ACB_C39D_4365_B3D5_4B9C915C7E67_.wvu.Cols" localSheetId="1" hidden="1">'FORM-2'!$N:$V</definedName>
    <definedName name="Z_65FA5ACB_C39D_4365_B3D5_4B9C915C7E67_.wvu.PrintArea" localSheetId="0" hidden="1">'FORM-1'!$A$1:$AG$108</definedName>
    <definedName name="Z_65FA5ACB_C39D_4365_B3D5_4B9C915C7E67_.wvu.PrintArea" localSheetId="1" hidden="1">'FORM-2'!$A$6:$X$89</definedName>
    <definedName name="Z_65FA5ACB_C39D_4365_B3D5_4B9C915C7E67_.wvu.PrintTitles" localSheetId="0" hidden="1">'FORM-1'!$1:$1</definedName>
    <definedName name="Z_65FA5ACB_C39D_4365_B3D5_4B9C915C7E67_.wvu.PrintTitles" localSheetId="1" hidden="1">'FORM-2'!$6:$7</definedName>
    <definedName name="Z_8CD035B1_9BBB_40AC_AF32_3BBE072F72EB_.wvu.Cols" localSheetId="0" hidden="1">'FORM-1'!$W:$AE</definedName>
    <definedName name="Z_8CD035B1_9BBB_40AC_AF32_3BBE072F72EB_.wvu.Cols" localSheetId="1" hidden="1">'FORM-2'!$N:$V</definedName>
    <definedName name="Z_8CD035B1_9BBB_40AC_AF32_3BBE072F72EB_.wvu.PrintArea" localSheetId="0" hidden="1">'FORM-1'!$A$1:$AG$108</definedName>
    <definedName name="Z_8CD035B1_9BBB_40AC_AF32_3BBE072F72EB_.wvu.PrintArea" localSheetId="1" hidden="1">'FORM-2'!$A$6:$X$89</definedName>
    <definedName name="Z_8CD035B1_9BBB_40AC_AF32_3BBE072F72EB_.wvu.PrintTitles" localSheetId="0" hidden="1">'FORM-1'!$1:$1</definedName>
    <definedName name="Z_8CD035B1_9BBB_40AC_AF32_3BBE072F72EB_.wvu.PrintTitles" localSheetId="1" hidden="1">'FORM-2'!$6:$7</definedName>
    <definedName name="Z_9E26B9E5_7C22_11D8_8A7B_00D0096B4312_.wvu.Cols" localSheetId="2" hidden="1">'FORM-3'!$AB:$AJ</definedName>
    <definedName name="Z_9E26B9E5_7C22_11D8_8A7B_00D0096B4312_.wvu.PrintArea" localSheetId="2" hidden="1">'FORM-3'!$A$1:$AK$332</definedName>
    <definedName name="Z_9E26B9E5_7C22_11D8_8A7B_00D0096B4312_.wvu.PrintTitles" localSheetId="2" hidden="1">'FORM-3'!$1:$5</definedName>
    <definedName name="Z_FDF4D170_D189_4798_BD76_0109A063F825_.wvu.Cols" localSheetId="2" hidden="1">'FORM-3'!$AB:$AJ,'FORM-3'!#REF!</definedName>
    <definedName name="Z_FDF4D170_D189_4798_BD76_0109A063F825_.wvu.PrintArea" localSheetId="2" hidden="1">'FORM-3'!$A$1:$AK$332</definedName>
    <definedName name="Z_FDF4D170_D189_4798_BD76_0109A063F825_.wvu.PrintTitles" localSheetId="2" hidden="1">'FORM-3'!$1:$5</definedName>
  </definedNames>
  <calcPr calcId="181029"/>
  <customWorkbookViews>
    <customWorkbookView name="LUCIO CHOQUE - Vista personalizada" guid="{9E26B9E5-7C22-11D8-8A7B-00D0096B4312}" mergeInterval="0" personalView="1" maximized="1" windowWidth="763" windowHeight="411" activeSheetId="2" showComments="commIndAndComment"/>
    <customWorkbookView name="Unidad de Política de Desarrollo Tecnológico - Vista personalizada" guid="{FDF4D170-D189-4798-BD76-0109A063F825}" mergeInterval="0" personalView="1" maximized="1" windowWidth="788" windowHeight="36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55" i="29" l="1"/>
  <c r="G67" i="29"/>
  <c r="N256" i="29"/>
  <c r="O256" i="29"/>
  <c r="P256" i="29"/>
  <c r="Q256" i="29"/>
  <c r="R256" i="29"/>
  <c r="S256" i="29"/>
  <c r="T256" i="29"/>
  <c r="U256" i="29"/>
  <c r="V256" i="29"/>
  <c r="W256" i="29"/>
  <c r="M256" i="29"/>
  <c r="M248" i="29"/>
  <c r="N248" i="29"/>
  <c r="O248" i="29"/>
  <c r="P248" i="29"/>
  <c r="Q248" i="29"/>
  <c r="R248" i="29"/>
  <c r="S248" i="29"/>
  <c r="T248" i="29"/>
  <c r="U248" i="29"/>
  <c r="V248" i="29"/>
  <c r="W248" i="29"/>
  <c r="L248" i="29"/>
  <c r="V257" i="29"/>
  <c r="U257" i="29"/>
  <c r="S257" i="29"/>
  <c r="Q257" i="29"/>
  <c r="O257" i="29"/>
  <c r="V254" i="29"/>
  <c r="T254" i="29"/>
  <c r="Q254" i="29"/>
  <c r="N254" i="29"/>
  <c r="X253" i="29"/>
  <c r="Q252" i="29"/>
  <c r="X252" i="29" s="1"/>
  <c r="M251" i="29"/>
  <c r="X251" i="29" s="1"/>
  <c r="W250" i="29"/>
  <c r="V250" i="29"/>
  <c r="U250" i="29"/>
  <c r="T250" i="29"/>
  <c r="S250" i="29"/>
  <c r="R250" i="29"/>
  <c r="Q250" i="29"/>
  <c r="P250" i="29"/>
  <c r="O250" i="29"/>
  <c r="N250" i="29"/>
  <c r="M250" i="29"/>
  <c r="W249" i="29"/>
  <c r="V249" i="29"/>
  <c r="U249" i="29"/>
  <c r="T249" i="29"/>
  <c r="S249" i="29"/>
  <c r="R249" i="29"/>
  <c r="Q249" i="29"/>
  <c r="P249" i="29"/>
  <c r="O249" i="29"/>
  <c r="N249" i="29"/>
  <c r="M249" i="29"/>
  <c r="W247" i="29"/>
  <c r="V247" i="29"/>
  <c r="U247" i="29"/>
  <c r="T247" i="29"/>
  <c r="S247" i="29"/>
  <c r="R247" i="29"/>
  <c r="Q247" i="29"/>
  <c r="P247" i="29"/>
  <c r="O247" i="29"/>
  <c r="N247" i="29"/>
  <c r="M247" i="29"/>
  <c r="L247" i="29"/>
  <c r="P246" i="29"/>
  <c r="X246" i="29" s="1"/>
  <c r="M245" i="29"/>
  <c r="X245" i="29" s="1"/>
  <c r="B258" i="29"/>
  <c r="C258" i="29"/>
  <c r="G258" i="29"/>
  <c r="L258" i="29" s="1"/>
  <c r="X247" i="29" l="1"/>
  <c r="X249" i="29"/>
  <c r="X254" i="29"/>
  <c r="X257" i="29"/>
  <c r="V258" i="29"/>
  <c r="X248" i="29"/>
  <c r="X256" i="29"/>
  <c r="X250" i="29"/>
  <c r="S120" i="29" l="1"/>
  <c r="T120" i="29"/>
  <c r="U120" i="29"/>
  <c r="V120" i="29"/>
  <c r="R120" i="29"/>
  <c r="N120" i="29"/>
  <c r="O120" i="29"/>
  <c r="P120" i="29"/>
  <c r="M120" i="29"/>
  <c r="Q120" i="29"/>
  <c r="U202" i="29"/>
  <c r="N202" i="29"/>
  <c r="X178" i="29" l="1"/>
  <c r="X179" i="29"/>
  <c r="M313" i="29" l="1"/>
  <c r="V306" i="29"/>
  <c r="W306" i="29"/>
  <c r="U306" i="29"/>
  <c r="N306" i="29"/>
  <c r="O306" i="29"/>
  <c r="P306" i="29"/>
  <c r="Q306" i="29"/>
  <c r="R306" i="29"/>
  <c r="S306" i="29"/>
  <c r="T306" i="29"/>
  <c r="M306" i="29"/>
  <c r="M305" i="29"/>
  <c r="U304" i="29"/>
  <c r="V304" i="29"/>
  <c r="W304" i="29"/>
  <c r="N304" i="29"/>
  <c r="O304" i="29"/>
  <c r="P304" i="29"/>
  <c r="Q304" i="29"/>
  <c r="R304" i="29"/>
  <c r="S304" i="29"/>
  <c r="T304" i="29"/>
  <c r="M304" i="29"/>
  <c r="P302" i="29"/>
  <c r="Q302" i="29"/>
  <c r="R302" i="29"/>
  <c r="S302" i="29"/>
  <c r="T302" i="29"/>
  <c r="U302" i="29"/>
  <c r="V302" i="29"/>
  <c r="W302" i="29"/>
  <c r="O302" i="29"/>
  <c r="W301" i="29"/>
  <c r="N301" i="29"/>
  <c r="O301" i="29"/>
  <c r="P301" i="29"/>
  <c r="Q301" i="29"/>
  <c r="R301" i="29"/>
  <c r="S301" i="29"/>
  <c r="T301" i="29"/>
  <c r="U301" i="29"/>
  <c r="V301" i="29"/>
  <c r="M301" i="29"/>
  <c r="V300" i="29"/>
  <c r="W300" i="29"/>
  <c r="N300" i="29"/>
  <c r="M300" i="29"/>
  <c r="U300" i="29"/>
  <c r="O300" i="29"/>
  <c r="P300" i="29"/>
  <c r="Q300" i="29"/>
  <c r="R300" i="29"/>
  <c r="S300" i="29"/>
  <c r="T300" i="29"/>
  <c r="V283" i="29"/>
  <c r="W283" i="29"/>
  <c r="U283" i="29"/>
  <c r="N283" i="29"/>
  <c r="O283" i="29"/>
  <c r="P283" i="29"/>
  <c r="Q283" i="29"/>
  <c r="R283" i="29"/>
  <c r="S283" i="29"/>
  <c r="T283" i="29"/>
  <c r="M283" i="29"/>
  <c r="U284" i="29"/>
  <c r="V284" i="29"/>
  <c r="W284" i="29"/>
  <c r="T284" i="29"/>
  <c r="N284" i="29"/>
  <c r="O284" i="29"/>
  <c r="P284" i="29"/>
  <c r="Q284" i="29"/>
  <c r="R284" i="29"/>
  <c r="S284" i="29"/>
  <c r="M284" i="29"/>
  <c r="U285" i="29"/>
  <c r="V285" i="29"/>
  <c r="W285" i="29"/>
  <c r="N285" i="29"/>
  <c r="O285" i="29"/>
  <c r="P285" i="29"/>
  <c r="Q285" i="29"/>
  <c r="R285" i="29"/>
  <c r="S285" i="29"/>
  <c r="T285" i="29"/>
  <c r="M285" i="29"/>
  <c r="P286" i="29"/>
  <c r="Q286" i="29"/>
  <c r="R286" i="29"/>
  <c r="N286" i="29"/>
  <c r="O286" i="29"/>
  <c r="S286" i="29"/>
  <c r="T286" i="29"/>
  <c r="U286" i="29"/>
  <c r="V286" i="29"/>
  <c r="W286" i="29"/>
  <c r="M286" i="29"/>
  <c r="R145" i="29" l="1"/>
  <c r="T145" i="29"/>
  <c r="U145" i="29"/>
  <c r="S145" i="29"/>
  <c r="V145" i="29"/>
  <c r="W145" i="29"/>
  <c r="M145" i="29"/>
  <c r="N145" i="29"/>
  <c r="O145" i="29"/>
  <c r="P145" i="29"/>
  <c r="Q145" i="29"/>
  <c r="L145" i="29"/>
  <c r="U100" i="29" l="1"/>
  <c r="V100" i="29"/>
  <c r="W100" i="29"/>
  <c r="T100" i="29"/>
  <c r="M100" i="29"/>
  <c r="N100" i="29"/>
  <c r="O100" i="29"/>
  <c r="P100" i="29"/>
  <c r="Q100" i="29"/>
  <c r="R100" i="29"/>
  <c r="S100" i="29"/>
  <c r="L100" i="29"/>
  <c r="W64" i="29"/>
  <c r="Q64" i="29"/>
  <c r="O35" i="29"/>
  <c r="N35" i="29"/>
  <c r="W35" i="29"/>
  <c r="V35" i="29"/>
  <c r="U35" i="29"/>
  <c r="T35" i="29"/>
  <c r="S35" i="29"/>
  <c r="R35" i="29"/>
  <c r="Q35" i="29"/>
  <c r="P35" i="29"/>
  <c r="M35" i="29"/>
  <c r="M34" i="29"/>
  <c r="M33" i="29"/>
  <c r="W32" i="29"/>
  <c r="N32" i="29"/>
  <c r="O32" i="29"/>
  <c r="P32" i="29"/>
  <c r="Q32" i="29"/>
  <c r="R32" i="29"/>
  <c r="S32" i="29"/>
  <c r="T32" i="29"/>
  <c r="U32" i="29"/>
  <c r="V32" i="29"/>
  <c r="M32" i="29"/>
  <c r="W13" i="29"/>
  <c r="V13" i="29"/>
  <c r="U13" i="29"/>
  <c r="T13" i="29"/>
  <c r="S13" i="29"/>
  <c r="R13" i="29"/>
  <c r="Q13" i="29"/>
  <c r="P13" i="29"/>
  <c r="O13" i="29"/>
  <c r="N13" i="29"/>
  <c r="M13" i="29"/>
  <c r="Q12" i="29"/>
  <c r="R12" i="29"/>
  <c r="S12" i="29"/>
  <c r="T12" i="29"/>
  <c r="U12" i="29"/>
  <c r="V12" i="29"/>
  <c r="W12" i="29"/>
  <c r="P12" i="29"/>
  <c r="N12" i="29"/>
  <c r="O12" i="29"/>
  <c r="M12" i="29"/>
  <c r="C31" i="36" l="1"/>
  <c r="I31" i="36"/>
  <c r="Q15" i="41" l="1"/>
  <c r="Q14" i="41"/>
  <c r="Q13" i="41"/>
  <c r="Q12" i="41"/>
  <c r="Q11" i="41"/>
  <c r="Q10" i="41"/>
  <c r="Q9" i="41"/>
  <c r="Q8" i="41"/>
  <c r="Q7" i="41"/>
  <c r="B7" i="29" l="1"/>
  <c r="B67" i="29"/>
  <c r="X68" i="29" l="1"/>
  <c r="X69" i="29"/>
  <c r="X70" i="29"/>
  <c r="X71" i="29"/>
  <c r="X72" i="29"/>
  <c r="X73" i="29"/>
  <c r="X74" i="29"/>
  <c r="X75" i="29"/>
  <c r="X76" i="29"/>
  <c r="X77" i="29"/>
  <c r="X78" i="29"/>
  <c r="X79" i="29"/>
  <c r="X80" i="29"/>
  <c r="X81" i="29"/>
  <c r="X82" i="29"/>
  <c r="X83" i="29"/>
  <c r="X84" i="29"/>
  <c r="X85" i="29"/>
  <c r="X86" i="29"/>
  <c r="X87" i="29"/>
  <c r="X88" i="29"/>
  <c r="X89" i="29"/>
  <c r="X90" i="29"/>
  <c r="X91" i="29"/>
  <c r="X92" i="29"/>
  <c r="X93" i="29"/>
  <c r="X94" i="29"/>
  <c r="X95" i="29"/>
  <c r="X96" i="29"/>
  <c r="X97" i="29"/>
  <c r="X98" i="29"/>
  <c r="X99" i="29"/>
  <c r="X100" i="29"/>
  <c r="X101" i="29"/>
  <c r="X102" i="29"/>
  <c r="X103" i="29"/>
  <c r="X104" i="29"/>
  <c r="X105" i="29"/>
  <c r="X107" i="29"/>
  <c r="X38" i="29"/>
  <c r="X39" i="29"/>
  <c r="X40" i="29"/>
  <c r="X41" i="29"/>
  <c r="X42" i="29"/>
  <c r="X43" i="29"/>
  <c r="X44" i="29"/>
  <c r="X45" i="29"/>
  <c r="X46" i="29"/>
  <c r="X47" i="29"/>
  <c r="X61" i="29"/>
  <c r="X63" i="29"/>
  <c r="X64" i="29"/>
  <c r="X65" i="29"/>
  <c r="X108" i="29"/>
  <c r="X109" i="29"/>
  <c r="X110" i="29"/>
  <c r="X111" i="29"/>
  <c r="X112" i="29"/>
  <c r="X113" i="29"/>
  <c r="X114" i="29"/>
  <c r="X115" i="29"/>
  <c r="X116" i="29"/>
  <c r="X117" i="29"/>
  <c r="X118" i="29"/>
  <c r="X119" i="29"/>
  <c r="X120" i="29"/>
  <c r="X123" i="29"/>
  <c r="X124" i="29"/>
  <c r="X125" i="29"/>
  <c r="X126" i="29"/>
  <c r="X127" i="29"/>
  <c r="X128" i="29"/>
  <c r="X129" i="29"/>
  <c r="X130" i="29"/>
  <c r="X131" i="29"/>
  <c r="X132" i="29"/>
  <c r="X133" i="29"/>
  <c r="X135" i="29"/>
  <c r="X136" i="29"/>
  <c r="X137" i="29"/>
  <c r="X138" i="29"/>
  <c r="X139" i="29"/>
  <c r="X140" i="29"/>
  <c r="X142" i="29"/>
  <c r="X143" i="29"/>
  <c r="X144" i="29"/>
  <c r="X145" i="29"/>
  <c r="X146" i="29"/>
  <c r="X147" i="29"/>
  <c r="X148" i="29"/>
  <c r="X149" i="29"/>
  <c r="X150" i="29"/>
  <c r="X151" i="29"/>
  <c r="X152" i="29"/>
  <c r="X153" i="29"/>
  <c r="X154" i="29"/>
  <c r="X155" i="29"/>
  <c r="X156" i="29"/>
  <c r="X157" i="29"/>
  <c r="X158" i="29"/>
  <c r="X163" i="29"/>
  <c r="X166" i="29"/>
  <c r="X167" i="29"/>
  <c r="X168" i="29"/>
  <c r="X169" i="29"/>
  <c r="X170" i="29"/>
  <c r="X171" i="29"/>
  <c r="X172" i="29"/>
  <c r="X173" i="29"/>
  <c r="X174" i="29"/>
  <c r="X175" i="29"/>
  <c r="X176" i="29"/>
  <c r="X177" i="29"/>
  <c r="X180" i="29"/>
  <c r="X181" i="29"/>
  <c r="X182" i="29"/>
  <c r="X183" i="29"/>
  <c r="X184" i="29"/>
  <c r="X185" i="29"/>
  <c r="X186" i="29"/>
  <c r="X187" i="29"/>
  <c r="X188" i="29"/>
  <c r="X189" i="29"/>
  <c r="X190" i="29"/>
  <c r="X191" i="29"/>
  <c r="X192" i="29"/>
  <c r="X193" i="29"/>
  <c r="X194" i="29"/>
  <c r="X195" i="29"/>
  <c r="X196" i="29"/>
  <c r="X197" i="29"/>
  <c r="X198" i="29"/>
  <c r="X199" i="29"/>
  <c r="X200" i="29"/>
  <c r="X201" i="29"/>
  <c r="X202" i="29"/>
  <c r="X203" i="29"/>
  <c r="X204" i="29"/>
  <c r="X205" i="29"/>
  <c r="X206" i="29"/>
  <c r="X207" i="29"/>
  <c r="X208" i="29"/>
  <c r="X209" i="29"/>
  <c r="X210" i="29"/>
  <c r="X211" i="29"/>
  <c r="X212" i="29"/>
  <c r="X213" i="29"/>
  <c r="X214" i="29"/>
  <c r="X215" i="29"/>
  <c r="X216" i="29"/>
  <c r="X217" i="29"/>
  <c r="X218" i="29"/>
  <c r="X219" i="29"/>
  <c r="X220" i="29"/>
  <c r="X221" i="29"/>
  <c r="X222" i="29"/>
  <c r="X223" i="29"/>
  <c r="X224" i="29"/>
  <c r="X225" i="29"/>
  <c r="X226" i="29"/>
  <c r="X227" i="29"/>
  <c r="X228" i="29"/>
  <c r="X229" i="29"/>
  <c r="X230" i="29"/>
  <c r="X231" i="29"/>
  <c r="X232" i="29"/>
  <c r="X238" i="29"/>
  <c r="X239" i="29"/>
  <c r="X240" i="29"/>
  <c r="X241" i="29"/>
  <c r="X242" i="29"/>
  <c r="X243" i="29"/>
  <c r="X244" i="29"/>
  <c r="X259" i="29"/>
  <c r="X260" i="29"/>
  <c r="X261" i="29"/>
  <c r="X263" i="29"/>
  <c r="X264" i="29"/>
  <c r="X265" i="29"/>
  <c r="X266" i="29"/>
  <c r="X267" i="29"/>
  <c r="X269" i="29"/>
  <c r="X271" i="29"/>
  <c r="X272" i="29"/>
  <c r="X273" i="29"/>
  <c r="X275" i="29"/>
  <c r="X276" i="29"/>
  <c r="X277" i="29"/>
  <c r="X278" i="29"/>
  <c r="X279" i="29"/>
  <c r="X280" i="29"/>
  <c r="X281" i="29"/>
  <c r="X282" i="29"/>
  <c r="X283" i="29"/>
  <c r="X284" i="29"/>
  <c r="X285" i="29"/>
  <c r="X286" i="29"/>
  <c r="X288" i="29"/>
  <c r="X289" i="29"/>
  <c r="X290" i="29"/>
  <c r="X291" i="29"/>
  <c r="X292" i="29"/>
  <c r="X293" i="29"/>
  <c r="X294" i="29"/>
  <c r="X295" i="29"/>
  <c r="X296" i="29"/>
  <c r="X297" i="29"/>
  <c r="X298" i="29"/>
  <c r="X300" i="29"/>
  <c r="X301" i="29"/>
  <c r="X302" i="29"/>
  <c r="X303" i="29"/>
  <c r="X304" i="29"/>
  <c r="X305" i="29"/>
  <c r="X306" i="29"/>
  <c r="X307" i="29"/>
  <c r="X308" i="29"/>
  <c r="X309" i="29"/>
  <c r="X310" i="29"/>
  <c r="X312" i="29"/>
  <c r="X315" i="29"/>
  <c r="X316" i="29"/>
  <c r="X318" i="29"/>
  <c r="X320" i="29"/>
  <c r="X321" i="29"/>
  <c r="X322" i="29"/>
  <c r="X323" i="29"/>
  <c r="X324" i="29"/>
  <c r="X325" i="29"/>
  <c r="X326" i="29"/>
  <c r="X327" i="29"/>
  <c r="X328" i="29"/>
  <c r="X329" i="29"/>
  <c r="X330" i="29"/>
  <c r="X331" i="29"/>
  <c r="X19" i="29"/>
  <c r="X22" i="29"/>
  <c r="X23" i="29"/>
  <c r="X24" i="29"/>
  <c r="X25" i="29"/>
  <c r="X26" i="29"/>
  <c r="X27" i="29"/>
  <c r="X28" i="29"/>
  <c r="X29" i="29"/>
  <c r="X30" i="29"/>
  <c r="X36" i="29"/>
  <c r="X10" i="29"/>
  <c r="X11" i="29"/>
  <c r="X12" i="29"/>
  <c r="X13" i="29"/>
  <c r="X15" i="29"/>
  <c r="X16" i="29"/>
  <c r="X17" i="29"/>
  <c r="A67" i="29"/>
  <c r="G17" i="29"/>
  <c r="G16" i="29"/>
  <c r="G15" i="29"/>
  <c r="N14" i="29"/>
  <c r="X14" i="29" s="1"/>
  <c r="G13" i="29"/>
  <c r="G12" i="29"/>
  <c r="G11" i="29"/>
  <c r="G10" i="29"/>
  <c r="W9" i="29"/>
  <c r="V9" i="29"/>
  <c r="U9" i="29"/>
  <c r="T9" i="29"/>
  <c r="S9" i="29"/>
  <c r="R9" i="29"/>
  <c r="Q9" i="29"/>
  <c r="P9" i="29"/>
  <c r="O9" i="29"/>
  <c r="N9" i="29"/>
  <c r="M9" i="29"/>
  <c r="G9" i="29"/>
  <c r="M8" i="29"/>
  <c r="L8" i="29"/>
  <c r="G8" i="29"/>
  <c r="W34" i="29"/>
  <c r="V34" i="29"/>
  <c r="U34" i="29"/>
  <c r="T34" i="29"/>
  <c r="S34" i="29"/>
  <c r="R34" i="29"/>
  <c r="Q34" i="29"/>
  <c r="P34" i="29"/>
  <c r="O34" i="29"/>
  <c r="N34" i="29"/>
  <c r="W33" i="29"/>
  <c r="V33" i="29"/>
  <c r="U33" i="29"/>
  <c r="T33" i="29"/>
  <c r="S33" i="29"/>
  <c r="R33" i="29"/>
  <c r="Q33" i="29"/>
  <c r="P33" i="29"/>
  <c r="O33" i="29"/>
  <c r="N33" i="29"/>
  <c r="W31" i="29"/>
  <c r="V31" i="29"/>
  <c r="U31" i="29"/>
  <c r="T31" i="29"/>
  <c r="S31" i="29"/>
  <c r="R31" i="29"/>
  <c r="Q31" i="29"/>
  <c r="P31" i="29"/>
  <c r="O31" i="29"/>
  <c r="N31" i="29"/>
  <c r="M31" i="29"/>
  <c r="W21" i="29"/>
  <c r="V21" i="29"/>
  <c r="U21" i="29"/>
  <c r="T21" i="29"/>
  <c r="S21" i="29"/>
  <c r="R21" i="29"/>
  <c r="Q21" i="29"/>
  <c r="P21" i="29"/>
  <c r="O21" i="29"/>
  <c r="N21" i="29"/>
  <c r="M21" i="29"/>
  <c r="L21" i="29"/>
  <c r="W20" i="29"/>
  <c r="V20" i="29"/>
  <c r="U20" i="29"/>
  <c r="T20" i="29"/>
  <c r="S20" i="29"/>
  <c r="R20" i="29"/>
  <c r="Q20" i="29"/>
  <c r="P20" i="29"/>
  <c r="O20" i="29"/>
  <c r="N20" i="29"/>
  <c r="M20" i="29"/>
  <c r="W317" i="29"/>
  <c r="V317" i="29"/>
  <c r="U317" i="29"/>
  <c r="T317" i="29"/>
  <c r="S317" i="29"/>
  <c r="R317" i="29"/>
  <c r="Q317" i="29"/>
  <c r="P317" i="29"/>
  <c r="O317" i="29"/>
  <c r="N317" i="29"/>
  <c r="W314" i="29"/>
  <c r="V314" i="29"/>
  <c r="U314" i="29"/>
  <c r="T314" i="29"/>
  <c r="S314" i="29"/>
  <c r="R314" i="29"/>
  <c r="Q314" i="29"/>
  <c r="P314" i="29"/>
  <c r="O314" i="29"/>
  <c r="N314" i="29"/>
  <c r="M314" i="29"/>
  <c r="W313" i="29"/>
  <c r="V313" i="29"/>
  <c r="U313" i="29"/>
  <c r="T313" i="29"/>
  <c r="S313" i="29"/>
  <c r="R313" i="29"/>
  <c r="Q313" i="29"/>
  <c r="P313" i="29"/>
  <c r="O313" i="29"/>
  <c r="N313" i="29"/>
  <c r="P270" i="29"/>
  <c r="U268" i="29"/>
  <c r="T268" i="29"/>
  <c r="T258" i="29" s="1"/>
  <c r="S268" i="29"/>
  <c r="S258" i="29" s="1"/>
  <c r="R268" i="29"/>
  <c r="Q268" i="29"/>
  <c r="Q258" i="29" s="1"/>
  <c r="P268" i="29"/>
  <c r="O268" i="29"/>
  <c r="O258" i="29" s="1"/>
  <c r="N268" i="29"/>
  <c r="N258" i="29" s="1"/>
  <c r="W262" i="29"/>
  <c r="W258" i="29" s="1"/>
  <c r="U262" i="29"/>
  <c r="R262" i="29"/>
  <c r="M262" i="29"/>
  <c r="M258" i="29" s="1"/>
  <c r="L237" i="29"/>
  <c r="X237" i="29" s="1"/>
  <c r="V236" i="29"/>
  <c r="Q236" i="29"/>
  <c r="V235" i="29"/>
  <c r="T235" i="29"/>
  <c r="R235" i="29"/>
  <c r="P235" i="29"/>
  <c r="N235" i="29"/>
  <c r="L235" i="29"/>
  <c r="W234" i="29"/>
  <c r="N234" i="29"/>
  <c r="W233" i="29"/>
  <c r="V233" i="29"/>
  <c r="U233" i="29"/>
  <c r="T233" i="29"/>
  <c r="S233" i="29"/>
  <c r="R233" i="29"/>
  <c r="Q233" i="29"/>
  <c r="P233" i="29"/>
  <c r="O233" i="29"/>
  <c r="N233" i="29"/>
  <c r="R165" i="29"/>
  <c r="M165" i="29"/>
  <c r="W164" i="29"/>
  <c r="T164" i="29"/>
  <c r="Q164" i="29"/>
  <c r="N164" i="29"/>
  <c r="W162" i="29"/>
  <c r="V162" i="29"/>
  <c r="U162" i="29"/>
  <c r="T162" i="29"/>
  <c r="S162" i="29"/>
  <c r="R162" i="29"/>
  <c r="Q162" i="29"/>
  <c r="P162" i="29"/>
  <c r="O162" i="29"/>
  <c r="N162" i="29"/>
  <c r="M162" i="29"/>
  <c r="L162" i="29"/>
  <c r="W161" i="29"/>
  <c r="V161" i="29"/>
  <c r="U161" i="29"/>
  <c r="T161" i="29"/>
  <c r="S161" i="29"/>
  <c r="R161" i="29"/>
  <c r="Q161" i="29"/>
  <c r="P161" i="29"/>
  <c r="O161" i="29"/>
  <c r="N161" i="29"/>
  <c r="M161" i="29"/>
  <c r="L161" i="29"/>
  <c r="V160" i="29"/>
  <c r="T160" i="29"/>
  <c r="R160" i="29"/>
  <c r="P160" i="29"/>
  <c r="M160" i="29"/>
  <c r="W159" i="29"/>
  <c r="V159" i="29"/>
  <c r="U159" i="29"/>
  <c r="T159" i="29"/>
  <c r="S159" i="29"/>
  <c r="R159" i="29"/>
  <c r="Q159" i="29"/>
  <c r="P159" i="29"/>
  <c r="O159" i="29"/>
  <c r="N159" i="29"/>
  <c r="M159" i="29"/>
  <c r="L159" i="29"/>
  <c r="I147" i="29"/>
  <c r="V141" i="29"/>
  <c r="S141" i="29"/>
  <c r="O141" i="29"/>
  <c r="W134" i="29"/>
  <c r="V134" i="29"/>
  <c r="U134" i="29"/>
  <c r="T134" i="29"/>
  <c r="S134" i="29"/>
  <c r="R134" i="29"/>
  <c r="Q134" i="29"/>
  <c r="P134" i="29"/>
  <c r="O134" i="29"/>
  <c r="N134" i="29"/>
  <c r="M134" i="29"/>
  <c r="L134" i="29"/>
  <c r="W122" i="29"/>
  <c r="V122" i="29"/>
  <c r="U122" i="29"/>
  <c r="T122" i="29"/>
  <c r="S122" i="29"/>
  <c r="R122" i="29"/>
  <c r="Q122" i="29"/>
  <c r="P122" i="29"/>
  <c r="O122" i="29"/>
  <c r="N122" i="29"/>
  <c r="M122" i="29"/>
  <c r="L122" i="29"/>
  <c r="W121" i="29"/>
  <c r="V121" i="29"/>
  <c r="U121" i="29"/>
  <c r="T121" i="29"/>
  <c r="S121" i="29"/>
  <c r="R121" i="29"/>
  <c r="Q121" i="29"/>
  <c r="P121" i="29"/>
  <c r="O121" i="29"/>
  <c r="N121" i="29"/>
  <c r="M121" i="29"/>
  <c r="L121" i="29"/>
  <c r="W66" i="29"/>
  <c r="V66" i="29"/>
  <c r="U66" i="29"/>
  <c r="T66" i="29"/>
  <c r="S66" i="29"/>
  <c r="R66" i="29"/>
  <c r="Q66" i="29"/>
  <c r="P66" i="29"/>
  <c r="O66" i="29"/>
  <c r="N66" i="29"/>
  <c r="M66" i="29"/>
  <c r="L66" i="29"/>
  <c r="W62" i="29"/>
  <c r="V62" i="29"/>
  <c r="U62" i="29"/>
  <c r="T62" i="29"/>
  <c r="S62" i="29"/>
  <c r="R62" i="29"/>
  <c r="Q62" i="29"/>
  <c r="P62" i="29"/>
  <c r="O62" i="29"/>
  <c r="N62" i="29"/>
  <c r="M62" i="29"/>
  <c r="L62" i="29"/>
  <c r="W60" i="29"/>
  <c r="V60" i="29"/>
  <c r="U60" i="29"/>
  <c r="T60" i="29"/>
  <c r="S60" i="29"/>
  <c r="R60" i="29"/>
  <c r="Q60" i="29"/>
  <c r="P60" i="29"/>
  <c r="O60" i="29"/>
  <c r="N60" i="29"/>
  <c r="M60" i="29"/>
  <c r="L60" i="29"/>
  <c r="W59" i="29"/>
  <c r="V59" i="29"/>
  <c r="U59" i="29"/>
  <c r="T59" i="29"/>
  <c r="S59" i="29"/>
  <c r="R59" i="29"/>
  <c r="Q59" i="29"/>
  <c r="P59" i="29"/>
  <c r="O59" i="29"/>
  <c r="N59" i="29"/>
  <c r="M59" i="29"/>
  <c r="L59" i="29"/>
  <c r="W58" i="29"/>
  <c r="V58" i="29"/>
  <c r="U58" i="29"/>
  <c r="T58" i="29"/>
  <c r="S58" i="29"/>
  <c r="R58" i="29"/>
  <c r="Q58" i="29"/>
  <c r="P58" i="29"/>
  <c r="O58" i="29"/>
  <c r="N58" i="29"/>
  <c r="M58" i="29"/>
  <c r="L58" i="29"/>
  <c r="W57" i="29"/>
  <c r="V57" i="29"/>
  <c r="U57" i="29"/>
  <c r="T57" i="29"/>
  <c r="S57" i="29"/>
  <c r="R57" i="29"/>
  <c r="Q57" i="29"/>
  <c r="P57" i="29"/>
  <c r="O57" i="29"/>
  <c r="N57" i="29"/>
  <c r="M57" i="29"/>
  <c r="L57" i="29"/>
  <c r="W56" i="29"/>
  <c r="V56" i="29"/>
  <c r="U56" i="29"/>
  <c r="T56" i="29"/>
  <c r="S56" i="29"/>
  <c r="R56" i="29"/>
  <c r="Q56" i="29"/>
  <c r="P56" i="29"/>
  <c r="O56" i="29"/>
  <c r="N56" i="29"/>
  <c r="M56" i="29"/>
  <c r="L56" i="29"/>
  <c r="W55" i="29"/>
  <c r="V55" i="29"/>
  <c r="U55" i="29"/>
  <c r="T55" i="29"/>
  <c r="S55" i="29"/>
  <c r="R55" i="29"/>
  <c r="Q55" i="29"/>
  <c r="P55" i="29"/>
  <c r="O55" i="29"/>
  <c r="N55" i="29"/>
  <c r="M55" i="29"/>
  <c r="L55" i="29"/>
  <c r="W54" i="29"/>
  <c r="V54" i="29"/>
  <c r="U54" i="29"/>
  <c r="T54" i="29"/>
  <c r="S54" i="29"/>
  <c r="R54" i="29"/>
  <c r="Q54" i="29"/>
  <c r="P54" i="29"/>
  <c r="O54" i="29"/>
  <c r="N54" i="29"/>
  <c r="M54" i="29"/>
  <c r="L54" i="29"/>
  <c r="W53" i="29"/>
  <c r="V53" i="29"/>
  <c r="U53" i="29"/>
  <c r="T53" i="29"/>
  <c r="S53" i="29"/>
  <c r="R53" i="29"/>
  <c r="Q53" i="29"/>
  <c r="P53" i="29"/>
  <c r="O53" i="29"/>
  <c r="N53" i="29"/>
  <c r="M53" i="29"/>
  <c r="L53" i="29"/>
  <c r="W52" i="29"/>
  <c r="V52" i="29"/>
  <c r="U52" i="29"/>
  <c r="T52" i="29"/>
  <c r="S52" i="29"/>
  <c r="R52" i="29"/>
  <c r="Q52" i="29"/>
  <c r="P52" i="29"/>
  <c r="O52" i="29"/>
  <c r="N52" i="29"/>
  <c r="M52" i="29"/>
  <c r="L52" i="29"/>
  <c r="W51" i="29"/>
  <c r="V51" i="29"/>
  <c r="U51" i="29"/>
  <c r="T51" i="29"/>
  <c r="S51" i="29"/>
  <c r="R51" i="29"/>
  <c r="Q51" i="29"/>
  <c r="P51" i="29"/>
  <c r="O51" i="29"/>
  <c r="N51" i="29"/>
  <c r="M51" i="29"/>
  <c r="L51" i="29"/>
  <c r="W50" i="29"/>
  <c r="V50" i="29"/>
  <c r="U50" i="29"/>
  <c r="T50" i="29"/>
  <c r="S50" i="29"/>
  <c r="R50" i="29"/>
  <c r="Q50" i="29"/>
  <c r="P50" i="29"/>
  <c r="O50" i="29"/>
  <c r="N50" i="29"/>
  <c r="M50" i="29"/>
  <c r="L50" i="29"/>
  <c r="W49" i="29"/>
  <c r="W37" i="29" s="1"/>
  <c r="V49" i="29"/>
  <c r="U49" i="29"/>
  <c r="T49" i="29"/>
  <c r="S49" i="29"/>
  <c r="R49" i="29"/>
  <c r="Q49" i="29"/>
  <c r="P49" i="29"/>
  <c r="O49" i="29"/>
  <c r="N49" i="29"/>
  <c r="M49" i="29"/>
  <c r="L49" i="29"/>
  <c r="V48" i="29"/>
  <c r="U48" i="29"/>
  <c r="T48" i="29"/>
  <c r="S48" i="29"/>
  <c r="R48" i="29"/>
  <c r="Q48" i="29"/>
  <c r="P48" i="29"/>
  <c r="O48" i="29"/>
  <c r="N48" i="29"/>
  <c r="M48" i="29"/>
  <c r="L48" i="29"/>
  <c r="W106" i="29"/>
  <c r="V106" i="29"/>
  <c r="V67" i="29" s="1"/>
  <c r="U106" i="29"/>
  <c r="T106" i="29"/>
  <c r="S106" i="29"/>
  <c r="R106" i="29"/>
  <c r="R67" i="29" s="1"/>
  <c r="Q106" i="29"/>
  <c r="P106" i="29"/>
  <c r="O106" i="29"/>
  <c r="N106" i="29"/>
  <c r="N67" i="29" s="1"/>
  <c r="M106" i="29"/>
  <c r="L106" i="29"/>
  <c r="C7" i="29"/>
  <c r="C18" i="29"/>
  <c r="B18" i="29"/>
  <c r="C319" i="29"/>
  <c r="B319" i="29"/>
  <c r="C311" i="29"/>
  <c r="A311" i="29"/>
  <c r="B311" i="29"/>
  <c r="C299" i="29"/>
  <c r="B299" i="29"/>
  <c r="C287" i="29"/>
  <c r="B287" i="29"/>
  <c r="C274" i="29"/>
  <c r="B274" i="29"/>
  <c r="C67" i="29"/>
  <c r="I19" i="36"/>
  <c r="P67" i="29" l="1"/>
  <c r="O67" i="29"/>
  <c r="S67" i="29"/>
  <c r="W67" i="29"/>
  <c r="L67" i="29"/>
  <c r="T67" i="29"/>
  <c r="M67" i="29"/>
  <c r="Q67" i="29"/>
  <c r="U67" i="29"/>
  <c r="R258" i="29"/>
  <c r="U258" i="29"/>
  <c r="P258" i="29"/>
  <c r="M37" i="29"/>
  <c r="Q37" i="29"/>
  <c r="U37" i="29"/>
  <c r="N37" i="29"/>
  <c r="R37" i="29"/>
  <c r="V37" i="29"/>
  <c r="O37" i="29"/>
  <c r="S37" i="29"/>
  <c r="L37" i="29"/>
  <c r="P37" i="29"/>
  <c r="T37" i="29"/>
  <c r="X57" i="29"/>
  <c r="X21" i="29"/>
  <c r="X33" i="29"/>
  <c r="X8" i="29"/>
  <c r="X9" i="29"/>
  <c r="X49" i="29"/>
  <c r="X51" i="29"/>
  <c r="X55" i="29"/>
  <c r="X59" i="29"/>
  <c r="X160" i="29"/>
  <c r="X106" i="29"/>
  <c r="X48" i="29"/>
  <c r="X50" i="29"/>
  <c r="X52" i="29"/>
  <c r="X53" i="29"/>
  <c r="X54" i="29"/>
  <c r="X56" i="29"/>
  <c r="X58" i="29"/>
  <c r="X60" i="29"/>
  <c r="X62" i="29"/>
  <c r="X66" i="29"/>
  <c r="X121" i="29"/>
  <c r="X122" i="29"/>
  <c r="X134" i="29"/>
  <c r="X141" i="29"/>
  <c r="X159" i="29"/>
  <c r="X161" i="29"/>
  <c r="X162" i="29"/>
  <c r="X164" i="29"/>
  <c r="X165" i="29"/>
  <c r="X233" i="29"/>
  <c r="X234" i="29"/>
  <c r="X236" i="29"/>
  <c r="X317" i="29"/>
  <c r="X32" i="29"/>
  <c r="X34" i="29"/>
  <c r="X268" i="29"/>
  <c r="X314" i="29"/>
  <c r="X31" i="29"/>
  <c r="X35" i="29"/>
  <c r="X313" i="29"/>
  <c r="X270" i="29"/>
  <c r="X262" i="29"/>
  <c r="X235" i="29"/>
  <c r="X20" i="29"/>
  <c r="X258" i="29" l="1"/>
  <c r="A287" i="29"/>
  <c r="F40" i="31" l="1"/>
  <c r="F39" i="31"/>
  <c r="F38" i="31"/>
  <c r="F48" i="31"/>
  <c r="F47" i="31"/>
  <c r="F46" i="31"/>
  <c r="F45" i="31"/>
  <c r="F44" i="31"/>
  <c r="F43" i="31"/>
  <c r="F21" i="31" l="1"/>
  <c r="F20" i="31"/>
  <c r="F19" i="31"/>
  <c r="F18" i="31"/>
  <c r="F17" i="31"/>
  <c r="G311" i="29" l="1"/>
  <c r="S311" i="29" l="1"/>
  <c r="O311" i="29"/>
  <c r="N311" i="29"/>
  <c r="Q311" i="29"/>
  <c r="V311" i="29"/>
  <c r="W311" i="29"/>
  <c r="M311" i="29"/>
  <c r="R311" i="29"/>
  <c r="T311" i="29"/>
  <c r="P311" i="29"/>
  <c r="U311" i="29"/>
  <c r="L311" i="29"/>
  <c r="R9" i="37"/>
  <c r="R7" i="37"/>
  <c r="X311" i="29" l="1"/>
  <c r="G7" i="29" l="1"/>
  <c r="W7" i="29" l="1"/>
  <c r="S7" i="29"/>
  <c r="Q7" i="29"/>
  <c r="V7" i="29"/>
  <c r="M7" i="29"/>
  <c r="R7" i="29"/>
  <c r="U7" i="29"/>
  <c r="O7" i="29"/>
  <c r="N7" i="29"/>
  <c r="T7" i="29"/>
  <c r="P7" i="29"/>
  <c r="L7" i="29"/>
  <c r="G18" i="29"/>
  <c r="X7" i="29" l="1"/>
  <c r="T18" i="29"/>
  <c r="U18" i="29"/>
  <c r="M18" i="29"/>
  <c r="P18" i="29"/>
  <c r="Q18" i="29"/>
  <c r="V18" i="29"/>
  <c r="N18" i="29"/>
  <c r="O18" i="29"/>
  <c r="R18" i="29"/>
  <c r="S18" i="29"/>
  <c r="W18" i="29"/>
  <c r="L18" i="29"/>
  <c r="G319" i="29"/>
  <c r="P319" i="29" l="1"/>
  <c r="T319" i="29"/>
  <c r="M319" i="29"/>
  <c r="Q319" i="29"/>
  <c r="U319" i="29"/>
  <c r="O319" i="29"/>
  <c r="W319" i="29"/>
  <c r="S319" i="29"/>
  <c r="N319" i="29"/>
  <c r="V319" i="29"/>
  <c r="R319" i="29"/>
  <c r="X18" i="29"/>
  <c r="L319" i="29"/>
  <c r="A319" i="29"/>
  <c r="X319" i="29" l="1"/>
  <c r="A299" i="29"/>
  <c r="G299" i="29"/>
  <c r="G287" i="29"/>
  <c r="O287" i="29" l="1"/>
  <c r="S287" i="29"/>
  <c r="W287" i="29"/>
  <c r="L287" i="29"/>
  <c r="P287" i="29"/>
  <c r="T287" i="29"/>
  <c r="N287" i="29"/>
  <c r="V287" i="29"/>
  <c r="R287" i="29"/>
  <c r="M287" i="29"/>
  <c r="U287" i="29"/>
  <c r="Q287" i="29"/>
  <c r="N299" i="29"/>
  <c r="R299" i="29"/>
  <c r="V299" i="29"/>
  <c r="O299" i="29"/>
  <c r="S299" i="29"/>
  <c r="W299" i="29"/>
  <c r="Q299" i="29"/>
  <c r="M299" i="29"/>
  <c r="U299" i="29"/>
  <c r="P299" i="29"/>
  <c r="T299" i="29"/>
  <c r="L299" i="29"/>
  <c r="G274" i="29"/>
  <c r="X299" i="29" l="1"/>
  <c r="P274" i="29"/>
  <c r="T274" i="29"/>
  <c r="M274" i="29"/>
  <c r="Q274" i="29"/>
  <c r="U274" i="29"/>
  <c r="S274" i="29"/>
  <c r="O274" i="29"/>
  <c r="W274" i="29"/>
  <c r="R274" i="29"/>
  <c r="N274" i="29"/>
  <c r="V274" i="29"/>
  <c r="X287" i="29"/>
  <c r="L274" i="29"/>
  <c r="X274" i="29" l="1"/>
  <c r="A258" i="29"/>
  <c r="A274" i="29"/>
  <c r="M6" i="29" l="1"/>
  <c r="Q6" i="29"/>
  <c r="U6" i="29"/>
  <c r="N6" i="29"/>
  <c r="R6" i="29"/>
  <c r="V6" i="29"/>
  <c r="O6" i="29"/>
  <c r="S6" i="29"/>
  <c r="W6" i="29"/>
  <c r="P6" i="29"/>
  <c r="T6" i="29"/>
  <c r="L6" i="29"/>
  <c r="A1" i="29"/>
  <c r="X37" i="29" l="1"/>
  <c r="R264" i="22"/>
  <c r="R260" i="22"/>
  <c r="C18" i="20"/>
  <c r="Q2" i="22" l="1"/>
  <c r="A1" i="22"/>
  <c r="A1" i="16"/>
  <c r="A1" i="32"/>
  <c r="F54" i="31"/>
  <c r="A1" i="31" l="1"/>
  <c r="R13" i="37" l="1"/>
  <c r="V2" i="37" l="1"/>
  <c r="A1" i="37"/>
  <c r="X67" i="29" l="1"/>
  <c r="X6" i="29" l="1"/>
  <c r="G2" i="32" l="1"/>
  <c r="I2" i="31"/>
  <c r="G2" i="16" l="1"/>
  <c r="S2" i="29"/>
  <c r="K2" i="36" l="1"/>
  <c r="A1" i="36"/>
  <c r="R118" i="22" l="1"/>
  <c r="R12" i="22"/>
  <c r="R13" i="22"/>
  <c r="R117" i="22" l="1"/>
  <c r="R95" i="22" l="1"/>
  <c r="R94" i="22" s="1"/>
  <c r="R90" i="22"/>
  <c r="R89" i="22" s="1"/>
  <c r="AK273" i="29" l="1"/>
  <c r="AK259" i="29"/>
  <c r="AK68" i="29"/>
  <c r="R270" i="22"/>
  <c r="R269" i="22"/>
  <c r="R254" i="22"/>
  <c r="R253" i="22"/>
  <c r="R238" i="22"/>
  <c r="R183" i="22"/>
  <c r="R126" i="22"/>
  <c r="R125" i="22"/>
  <c r="R124" i="22"/>
  <c r="B29" i="32"/>
  <c r="B22" i="32"/>
  <c r="B14" i="32"/>
  <c r="R19" i="22"/>
  <c r="R284" i="22"/>
  <c r="R283" i="22" s="1"/>
  <c r="R282" i="22" s="1"/>
  <c r="R281" i="22" s="1"/>
  <c r="R279" i="22"/>
  <c r="R278" i="22" s="1"/>
  <c r="R277" i="22" s="1"/>
  <c r="R276" i="22" s="1"/>
  <c r="R274" i="22"/>
  <c r="R273" i="22" s="1"/>
  <c r="R272" i="22" s="1"/>
  <c r="R268" i="22"/>
  <c r="R265" i="22"/>
  <c r="R263" i="22" s="1"/>
  <c r="R259" i="22"/>
  <c r="R252" i="22"/>
  <c r="R251" i="22"/>
  <c r="R250" i="22"/>
  <c r="R247" i="22"/>
  <c r="R246" i="22"/>
  <c r="R245" i="22"/>
  <c r="R244" i="22"/>
  <c r="R243" i="22"/>
  <c r="R242" i="22"/>
  <c r="R241" i="22"/>
  <c r="R237" i="22"/>
  <c r="R236" i="22"/>
  <c r="R235" i="22"/>
  <c r="R234" i="22"/>
  <c r="R233" i="22"/>
  <c r="R232" i="22"/>
  <c r="R231" i="22"/>
  <c r="R230" i="22"/>
  <c r="R229" i="22"/>
  <c r="R228" i="22"/>
  <c r="R227" i="22"/>
  <c r="R226" i="22"/>
  <c r="R225" i="22"/>
  <c r="R224" i="22"/>
  <c r="R223" i="22"/>
  <c r="R222" i="22"/>
  <c r="R221" i="22"/>
  <c r="R220" i="22"/>
  <c r="R219" i="22"/>
  <c r="R218" i="22"/>
  <c r="R217" i="22"/>
  <c r="R216" i="22"/>
  <c r="R215" i="22"/>
  <c r="R214" i="22"/>
  <c r="R213" i="22"/>
  <c r="R212" i="22"/>
  <c r="R211" i="22"/>
  <c r="R210" i="22"/>
  <c r="R209" i="22"/>
  <c r="R208" i="22"/>
  <c r="R207" i="22"/>
  <c r="R206" i="22"/>
  <c r="R205" i="22"/>
  <c r="R204" i="22"/>
  <c r="R203" i="22"/>
  <c r="R202" i="22"/>
  <c r="R201" i="22"/>
  <c r="R198" i="22"/>
  <c r="R197" i="22"/>
  <c r="R196" i="22"/>
  <c r="R195" i="22"/>
  <c r="R194" i="22"/>
  <c r="R193" i="22"/>
  <c r="R189" i="22"/>
  <c r="R188" i="22" s="1"/>
  <c r="R186" i="22"/>
  <c r="R185" i="22" s="1"/>
  <c r="C48" i="20" s="1"/>
  <c r="R182" i="22"/>
  <c r="R177" i="22"/>
  <c r="R176" i="22"/>
  <c r="R173" i="22"/>
  <c r="R172" i="22"/>
  <c r="R171" i="22"/>
  <c r="R170" i="22"/>
  <c r="R167" i="22"/>
  <c r="R166" i="22"/>
  <c r="R165" i="22"/>
  <c r="R164" i="22"/>
  <c r="R163" i="22"/>
  <c r="R162" i="22"/>
  <c r="R161" i="22"/>
  <c r="R160" i="22"/>
  <c r="R159" i="22"/>
  <c r="R158" i="22"/>
  <c r="R157" i="22"/>
  <c r="R153" i="22"/>
  <c r="R152" i="22" s="1"/>
  <c r="C39" i="20" s="1"/>
  <c r="R151" i="22"/>
  <c r="R150" i="22" s="1"/>
  <c r="R145" i="22"/>
  <c r="R144" i="22" s="1"/>
  <c r="C35" i="20" s="1"/>
  <c r="R143" i="22"/>
  <c r="R142" i="22" s="1"/>
  <c r="R139" i="22"/>
  <c r="R138" i="22" s="1"/>
  <c r="R137" i="22"/>
  <c r="R136" i="22" s="1"/>
  <c r="R133" i="22"/>
  <c r="R132" i="22" s="1"/>
  <c r="C32" i="20" s="1"/>
  <c r="R129" i="22"/>
  <c r="R128" i="22" s="1"/>
  <c r="C30" i="20" s="1"/>
  <c r="R123" i="22"/>
  <c r="R122" i="22"/>
  <c r="R121" i="22"/>
  <c r="C28" i="20"/>
  <c r="R115" i="22"/>
  <c r="R114" i="22" s="1"/>
  <c r="C27" i="20" s="1"/>
  <c r="R112" i="22"/>
  <c r="R111" i="22" s="1"/>
  <c r="R109" i="22"/>
  <c r="R108" i="22" s="1"/>
  <c r="R107" i="22"/>
  <c r="R106" i="22"/>
  <c r="R104" i="22"/>
  <c r="R103" i="22" s="1"/>
  <c r="R99" i="22"/>
  <c r="R98" i="22" s="1"/>
  <c r="C23" i="20" s="1"/>
  <c r="R97" i="22"/>
  <c r="R96" i="22" s="1"/>
  <c r="R88" i="22"/>
  <c r="R86" i="22"/>
  <c r="R83" i="22"/>
  <c r="R82" i="22"/>
  <c r="R81" i="22"/>
  <c r="R78" i="22"/>
  <c r="R77" i="22"/>
  <c r="R76" i="22"/>
  <c r="R73" i="22"/>
  <c r="R72" i="22"/>
  <c r="R71" i="22"/>
  <c r="R70" i="22"/>
  <c r="R69" i="22"/>
  <c r="R67" i="22"/>
  <c r="R66" i="22"/>
  <c r="R65" i="22"/>
  <c r="R64" i="22"/>
  <c r="R63" i="22"/>
  <c r="R60" i="22"/>
  <c r="R59" i="22"/>
  <c r="R58" i="22"/>
  <c r="R57" i="22"/>
  <c r="R56" i="22"/>
  <c r="R55" i="22"/>
  <c r="R53" i="22"/>
  <c r="R52" i="22"/>
  <c r="R51" i="22"/>
  <c r="R50" i="22"/>
  <c r="R49" i="22"/>
  <c r="R48" i="22"/>
  <c r="R44" i="22"/>
  <c r="R43" i="22"/>
  <c r="R42" i="22"/>
  <c r="R40" i="22"/>
  <c r="R39" i="22"/>
  <c r="R38" i="22"/>
  <c r="R37" i="22"/>
  <c r="R36" i="22"/>
  <c r="R34" i="22"/>
  <c r="R33" i="22"/>
  <c r="R32" i="22"/>
  <c r="R30" i="22"/>
  <c r="R29" i="22"/>
  <c r="R28" i="22"/>
  <c r="R27" i="22"/>
  <c r="R26" i="22"/>
  <c r="R25" i="22"/>
  <c r="R24" i="22"/>
  <c r="R23" i="22"/>
  <c r="R22" i="22"/>
  <c r="R18" i="22"/>
  <c r="R17" i="22"/>
  <c r="R16" i="22"/>
  <c r="R15" i="22"/>
  <c r="R14" i="22"/>
  <c r="R11" i="22"/>
  <c r="C64" i="20"/>
  <c r="C63" i="20" s="1"/>
  <c r="C61" i="20"/>
  <c r="C44" i="20"/>
  <c r="AE258" i="29"/>
  <c r="AI258" i="29"/>
  <c r="AC258" i="29"/>
  <c r="AG67" i="29"/>
  <c r="AG258" i="29"/>
  <c r="AH258" i="29"/>
  <c r="AB258" i="29"/>
  <c r="AA258" i="29"/>
  <c r="Y258" i="29"/>
  <c r="AK258" i="29" s="1"/>
  <c r="AF258" i="29"/>
  <c r="AD258" i="29"/>
  <c r="AJ258" i="29"/>
  <c r="AD67" i="29"/>
  <c r="AC67" i="29"/>
  <c r="R181" i="22" l="1"/>
  <c r="R180" i="22" s="1"/>
  <c r="R179" i="22" s="1"/>
  <c r="R258" i="22"/>
  <c r="R80" i="22"/>
  <c r="R75" i="22"/>
  <c r="R20" i="22"/>
  <c r="C12" i="20" s="1"/>
  <c r="R46" i="22"/>
  <c r="C13" i="20" s="1"/>
  <c r="R61" i="22"/>
  <c r="C14" i="20" s="1"/>
  <c r="R85" i="22"/>
  <c r="C17" i="20" s="1"/>
  <c r="R249" i="22"/>
  <c r="R10" i="22"/>
  <c r="C11" i="20" s="1"/>
  <c r="AA67" i="29"/>
  <c r="AF67" i="29"/>
  <c r="AH67" i="29"/>
  <c r="R105" i="22"/>
  <c r="R102" i="22" s="1"/>
  <c r="R120" i="22"/>
  <c r="C29" i="20" s="1"/>
  <c r="R156" i="22"/>
  <c r="C41" i="20" s="1"/>
  <c r="C22" i="20"/>
  <c r="R93" i="22"/>
  <c r="R92" i="22" s="1"/>
  <c r="C59" i="20"/>
  <c r="R175" i="22"/>
  <c r="AJ67" i="29"/>
  <c r="R141" i="22"/>
  <c r="Z258" i="29"/>
  <c r="R149" i="22"/>
  <c r="C38" i="20" s="1"/>
  <c r="C37" i="20" s="1"/>
  <c r="R192" i="22"/>
  <c r="C51" i="20" s="1"/>
  <c r="R240" i="22"/>
  <c r="C53" i="20" s="1"/>
  <c r="R267" i="22"/>
  <c r="C47" i="20"/>
  <c r="C46" i="20" s="1"/>
  <c r="R200" i="22"/>
  <c r="C52" i="20" s="1"/>
  <c r="C16" i="20"/>
  <c r="R169" i="22"/>
  <c r="C42" i="20" s="1"/>
  <c r="C58" i="20"/>
  <c r="R135" i="22"/>
  <c r="C21" i="20"/>
  <c r="Y67" i="29"/>
  <c r="C34" i="20"/>
  <c r="C31" i="20" s="1"/>
  <c r="AI67" i="29"/>
  <c r="AE67" i="29"/>
  <c r="AB67" i="29"/>
  <c r="Z67" i="29"/>
  <c r="R257" i="22" l="1"/>
  <c r="R256" i="22" s="1"/>
  <c r="C10" i="20"/>
  <c r="C20" i="20"/>
  <c r="C57" i="20"/>
  <c r="C56" i="20" s="1"/>
  <c r="R131" i="22"/>
  <c r="R9" i="22"/>
  <c r="R148" i="22"/>
  <c r="R45" i="22"/>
  <c r="C50" i="20"/>
  <c r="C40" i="20"/>
  <c r="R191" i="22"/>
  <c r="R155" i="22"/>
  <c r="AK67" i="29"/>
  <c r="C25" i="20"/>
  <c r="C24" i="20" s="1"/>
  <c r="R101" i="22"/>
  <c r="C5" i="20" l="1"/>
  <c r="R8" i="22"/>
  <c r="R7" i="22" s="1"/>
  <c r="R147" i="22"/>
  <c r="C36" i="20"/>
  <c r="R286" i="22" l="1"/>
  <c r="C6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5" authorId="0" shapeId="0" xr:uid="{00000000-0006-0000-0600-000001000000}">
      <text>
        <r>
          <rPr>
            <b/>
            <sz val="9"/>
            <color indexed="81"/>
            <rFont val="Tahoma"/>
            <family val="2"/>
          </rPr>
          <t>Usuario de Windows:</t>
        </r>
        <r>
          <rPr>
            <sz val="9"/>
            <color indexed="81"/>
            <rFont val="Tahoma"/>
            <family val="2"/>
          </rPr>
          <t xml:space="preserve">
</t>
        </r>
      </text>
    </comment>
  </commentList>
</comments>
</file>

<file path=xl/sharedStrings.xml><?xml version="1.0" encoding="utf-8"?>
<sst xmlns="http://schemas.openxmlformats.org/spreadsheetml/2006/main" count="3348" uniqueCount="2083">
  <si>
    <t>Cronograma de Programación Anual (En %)</t>
  </si>
  <si>
    <t>Cronograma de Ejecución Anual (En %)</t>
  </si>
  <si>
    <t>Unidad</t>
  </si>
  <si>
    <t>Cant.</t>
  </si>
  <si>
    <t>Oct.</t>
  </si>
  <si>
    <t>Fechas</t>
  </si>
  <si>
    <t>Inicio</t>
  </si>
  <si>
    <t>Fin</t>
  </si>
  <si>
    <t>PA</t>
  </si>
  <si>
    <t>Ponderación de actividades (la suma debe ser 100)</t>
  </si>
  <si>
    <t>TOT</t>
  </si>
  <si>
    <t>NOMBRE</t>
  </si>
  <si>
    <t>CARGO</t>
  </si>
  <si>
    <t>FIRMA</t>
  </si>
  <si>
    <t>ELABORADO POR:</t>
  </si>
  <si>
    <t>Ene</t>
  </si>
  <si>
    <t>Dic</t>
  </si>
  <si>
    <t>Jun</t>
  </si>
  <si>
    <t>Nov</t>
  </si>
  <si>
    <t>Feb</t>
  </si>
  <si>
    <t>Sep</t>
  </si>
  <si>
    <t>Ago</t>
  </si>
  <si>
    <t>Jul</t>
  </si>
  <si>
    <t>Mar</t>
  </si>
  <si>
    <t>Abr</t>
  </si>
  <si>
    <t>May</t>
  </si>
  <si>
    <t>ELABORADO POR :</t>
  </si>
  <si>
    <t>Existentes</t>
  </si>
  <si>
    <t>Requeridos</t>
  </si>
  <si>
    <t xml:space="preserve"> ELABORADO POR :</t>
  </si>
  <si>
    <t>Código</t>
  </si>
  <si>
    <t xml:space="preserve">Descripción </t>
  </si>
  <si>
    <t>Precio</t>
  </si>
  <si>
    <t>Cantidad</t>
  </si>
  <si>
    <t>Monto</t>
  </si>
  <si>
    <t>Presupuesto</t>
  </si>
  <si>
    <t>de Bienes y Servicios</t>
  </si>
  <si>
    <t>Medida</t>
  </si>
  <si>
    <t>Unitario</t>
  </si>
  <si>
    <t>Requerida</t>
  </si>
  <si>
    <t>Estimado</t>
  </si>
  <si>
    <t>Partidas</t>
  </si>
  <si>
    <t>Bs.</t>
  </si>
  <si>
    <t>SERVICIOS NO PERSONALES</t>
  </si>
  <si>
    <t>Servicios de transporte y Seguros</t>
  </si>
  <si>
    <t>Pasajes</t>
  </si>
  <si>
    <t>LPZ - SCZ - LPZ</t>
  </si>
  <si>
    <t>LPZ - CBB - LPZ</t>
  </si>
  <si>
    <t>LPZ -  CHU-  LPZ</t>
  </si>
  <si>
    <t>LPZ - TJA -   LPZ</t>
  </si>
  <si>
    <t>LPZ - PTS -   LPZ</t>
  </si>
  <si>
    <t>LPZ - TDD -  LPZ</t>
  </si>
  <si>
    <t>LPZ - CBJ -  LPZ</t>
  </si>
  <si>
    <t>LPZ - ORO- LPZ</t>
  </si>
  <si>
    <t>........</t>
  </si>
  <si>
    <t>......................</t>
  </si>
  <si>
    <t>AREA URBANA</t>
  </si>
  <si>
    <t>Día+IVA</t>
  </si>
  <si>
    <t xml:space="preserve">DIRECTORES </t>
  </si>
  <si>
    <t>PROFESIONALES Y TECNICOS</t>
  </si>
  <si>
    <t>SECRETARIAS Y CHOFERES</t>
  </si>
  <si>
    <t>AREA RURAL</t>
  </si>
  <si>
    <t>EXTERIOR EUROPA-NORTE AMERICA</t>
  </si>
  <si>
    <t>EXTERIOR CENTRO Y SUD AMERICA</t>
  </si>
  <si>
    <t>Alquileres</t>
  </si>
  <si>
    <t>Local para taller</t>
  </si>
  <si>
    <t>Imprenta</t>
  </si>
  <si>
    <t>MATERIALES Y SUMINISTROS</t>
  </si>
  <si>
    <t>Alimentos y Productos Agroforestales</t>
  </si>
  <si>
    <t>Alimentos y Bebidas para personas</t>
  </si>
  <si>
    <t>Productos de Papel, Cartón e Impresos</t>
  </si>
  <si>
    <t>Papel de Escritorio</t>
  </si>
  <si>
    <t>Hojas</t>
  </si>
  <si>
    <t>Tubo</t>
  </si>
  <si>
    <t>Sobres manila tamaño oficio</t>
  </si>
  <si>
    <t>Pieza</t>
  </si>
  <si>
    <t>Sobres manila tamaño carta</t>
  </si>
  <si>
    <t>Hojas de trabajo 7 columnas</t>
  </si>
  <si>
    <t>Hojas de trabajo 14 columnas</t>
  </si>
  <si>
    <t>Productos de Artes Gráficas, Papel y Cartón</t>
  </si>
  <si>
    <t>Folder cartulina amarilla</t>
  </si>
  <si>
    <t>Libro de Actas 100 hojas</t>
  </si>
  <si>
    <t>Combustibles y lubricantes para consumo</t>
  </si>
  <si>
    <t>Compra de gasolina</t>
  </si>
  <si>
    <t>Litros</t>
  </si>
  <si>
    <t>Productos Varios</t>
  </si>
  <si>
    <t xml:space="preserve">Caja </t>
  </si>
  <si>
    <t>ACTIVOS REALES</t>
  </si>
  <si>
    <t>Maquinaria y Equipo</t>
  </si>
  <si>
    <t>Equipo de Oficina y Muebles</t>
  </si>
  <si>
    <t>Equipo</t>
  </si>
  <si>
    <t xml:space="preserve"> RESPONSABLE DE LA INFORMACIÓN</t>
  </si>
  <si>
    <t>CODIGO SISIN</t>
  </si>
  <si>
    <t xml:space="preserve">Cargo </t>
  </si>
  <si>
    <t xml:space="preserve">Profesión/Oficio </t>
  </si>
  <si>
    <t xml:space="preserve">Número de Empleados </t>
  </si>
  <si>
    <t>Sumatoria de ponderaciones = 100</t>
  </si>
  <si>
    <t>Cronograma de Requerimiento</t>
  </si>
  <si>
    <t>Nov.</t>
  </si>
  <si>
    <t>Dic.</t>
  </si>
  <si>
    <t>Sep.</t>
  </si>
  <si>
    <t>Ago.</t>
  </si>
  <si>
    <t>Jul.</t>
  </si>
  <si>
    <t>Jun.</t>
  </si>
  <si>
    <t>May.</t>
  </si>
  <si>
    <t>Abr.</t>
  </si>
  <si>
    <t>Mar.</t>
  </si>
  <si>
    <t>Feb.</t>
  </si>
  <si>
    <t>Ene.</t>
  </si>
  <si>
    <t>RESPONSABLE DE LA INFORMACIÓN</t>
  </si>
  <si>
    <t>(Expresado en Bolivianos)</t>
  </si>
  <si>
    <t>Partida</t>
  </si>
  <si>
    <t>Descripción</t>
  </si>
  <si>
    <t>Servicios Basicos</t>
  </si>
  <si>
    <t>Comunicaciones</t>
  </si>
  <si>
    <t>Servicios Telefónicos</t>
  </si>
  <si>
    <t>Servicios de Transporte y Seguros</t>
  </si>
  <si>
    <t>Pasajes al interior del país</t>
  </si>
  <si>
    <t>Pasajes al exterior del país</t>
  </si>
  <si>
    <t>Fletes y Almacenamiento</t>
  </si>
  <si>
    <t>Seguros</t>
  </si>
  <si>
    <t>Transporte de Personal</t>
  </si>
  <si>
    <t>Alquiler de Edificios</t>
  </si>
  <si>
    <t>Mantenimiento y Reparación</t>
  </si>
  <si>
    <t>Servicios Profesionales y Comerciales</t>
  </si>
  <si>
    <t>Consultores en Línea</t>
  </si>
  <si>
    <t>Comisiones y Gastos Bancarios</t>
  </si>
  <si>
    <t>Publicidad</t>
  </si>
  <si>
    <t>Otros Servicios No Personales</t>
  </si>
  <si>
    <t>Gastos Judiciales</t>
  </si>
  <si>
    <t>Servicios Públicos</t>
  </si>
  <si>
    <t>Otros</t>
  </si>
  <si>
    <t>Refrigerios y Gastos Administrativos</t>
  </si>
  <si>
    <t>Gastos por alimentación y otros similares efectuados en reuniones y seminarios y otros eventos</t>
  </si>
  <si>
    <t>Periódicos</t>
  </si>
  <si>
    <t>Textiles y Vestuario</t>
  </si>
  <si>
    <t>Hilados y Telas</t>
  </si>
  <si>
    <t>Combustibles, Productos Químicos, Farmacéuticos y Otros</t>
  </si>
  <si>
    <t>Combustibles y Lubricantes para Consumo</t>
  </si>
  <si>
    <t>Llantas y Neumaticos</t>
  </si>
  <si>
    <t>Material de Limpieza</t>
  </si>
  <si>
    <t>Utiles de Escritorio y Oficina</t>
  </si>
  <si>
    <t>Utiles y Materiales Eléctricos</t>
  </si>
  <si>
    <t>Útiles Educacionales y Recreativos</t>
  </si>
  <si>
    <t>Otros Repuestos y Accesorios</t>
  </si>
  <si>
    <t>Equipo de Computación</t>
  </si>
  <si>
    <t>Otros Activos Fijos</t>
  </si>
  <si>
    <t>Activos Intangibles</t>
  </si>
  <si>
    <t>OTROS GASTOS</t>
  </si>
  <si>
    <t>Otras Pérdidas y Devoluciones</t>
  </si>
  <si>
    <t>Pérdidas en Operaciones Cambiarias</t>
  </si>
  <si>
    <t>T O T A L</t>
  </si>
  <si>
    <t>Equipo de Comunicaciones</t>
  </si>
  <si>
    <t>Viáticos por viajes al interior del país</t>
  </si>
  <si>
    <t>Viáticos por viajes al exterior del país</t>
  </si>
  <si>
    <t xml:space="preserve">Fletes y almacenamiento </t>
  </si>
  <si>
    <t>GLOBAL</t>
  </si>
  <si>
    <t>Instalación, Mantenimiento y Reparación</t>
  </si>
  <si>
    <t>Mantenimiento y reparación de Inmuebles y Equipos</t>
  </si>
  <si>
    <t>Mantenimiento y reparación de inmuebles</t>
  </si>
  <si>
    <t>Mantenimiento y reparación de muebles y enseres</t>
  </si>
  <si>
    <t>Estudios, investigaciones, auditorias externas y revalorizaciones</t>
  </si>
  <si>
    <t>Auditorias externas</t>
  </si>
  <si>
    <t>Comisiones y gastos bancarios</t>
  </si>
  <si>
    <t>Servicio de Imprenta y Servicios Fotográficos</t>
  </si>
  <si>
    <t>Capacitación del Personal</t>
  </si>
  <si>
    <t>Otros Servicio No Personales</t>
  </si>
  <si>
    <t>Servicios de Seguridad</t>
  </si>
  <si>
    <t>Servicios Privados</t>
  </si>
  <si>
    <t>Otros Servicios no Personales</t>
  </si>
  <si>
    <t>Gastos de Representación</t>
  </si>
  <si>
    <t>Gastos Destinados al Pago de Refrigerios al Personal</t>
  </si>
  <si>
    <t>Gastos de pago de refrigerio</t>
  </si>
  <si>
    <t>Gastos por Alimentos y Otros Similares</t>
  </si>
  <si>
    <t>Gastos efectuados en reuniones, seminarios y otros</t>
  </si>
  <si>
    <t>Fletes terrestres</t>
  </si>
  <si>
    <t>Global</t>
  </si>
  <si>
    <t xml:space="preserve">Fletes  aéreos </t>
  </si>
  <si>
    <t>Fletes  marítimos</t>
  </si>
  <si>
    <t>Seguro para personas</t>
  </si>
  <si>
    <t>Seguro para vehículos</t>
  </si>
  <si>
    <t>Seguro para muebles</t>
  </si>
  <si>
    <t>Gastos por traslado de personas</t>
  </si>
  <si>
    <t>Mantenimiento y reparación de vehículos, maquinaria y equipos</t>
  </si>
  <si>
    <t>Consultor</t>
  </si>
  <si>
    <t>Mes/hombre</t>
  </si>
  <si>
    <t>Personal de apoyo</t>
  </si>
  <si>
    <t>Lavandería limpieza e higiene</t>
  </si>
  <si>
    <t>Trabajo de imprenta</t>
  </si>
  <si>
    <t>Fotocopias</t>
  </si>
  <si>
    <t>Revelado de fotografías</t>
  </si>
  <si>
    <t>Rollo</t>
  </si>
  <si>
    <t xml:space="preserve">Capacitación al personal </t>
  </si>
  <si>
    <t>Servicio de seguridad física de la policía nacional</t>
  </si>
  <si>
    <t>Servicio de seguridad privada</t>
  </si>
  <si>
    <t>Gastos de representación</t>
  </si>
  <si>
    <t>Otros gastos</t>
  </si>
  <si>
    <t>Boletines</t>
  </si>
  <si>
    <t>Combustibles y Lubricantes</t>
  </si>
  <si>
    <t>Productos de Minerales no Metálicos y Plásticos</t>
  </si>
  <si>
    <t>Productos de arcilla, vidrio………</t>
  </si>
  <si>
    <t xml:space="preserve">Bolígrafos </t>
  </si>
  <si>
    <t>Portaminas</t>
  </si>
  <si>
    <t>Minas</t>
  </si>
  <si>
    <t>Gomas de borrar</t>
  </si>
  <si>
    <t>Resaltador</t>
  </si>
  <si>
    <t>Fasteners caja de 50 unid</t>
  </si>
  <si>
    <t>Perforadora</t>
  </si>
  <si>
    <t>Equipos de Oficina y Muebles</t>
  </si>
  <si>
    <t>Equipos de Computación</t>
  </si>
  <si>
    <t>Equipo de Comunicación</t>
  </si>
  <si>
    <t xml:space="preserve">Adquisición de equipos de comunicación </t>
  </si>
  <si>
    <t>Derechos y licencias</t>
  </si>
  <si>
    <t>TRANSFERENCIAS</t>
  </si>
  <si>
    <t>Transferencias de Capital al Sector Privado</t>
  </si>
  <si>
    <t>Transferencias de Capital a Empresas Privadas</t>
  </si>
  <si>
    <t>Pérdidas en operaciones cambiarias</t>
  </si>
  <si>
    <t>TOTAL 25210</t>
  </si>
  <si>
    <t>PRESUPUESTO REQUERIDO</t>
  </si>
  <si>
    <t>CARGO EQUIVALENTE A LA ESCALA SALARIAL</t>
  </si>
  <si>
    <t>AMERICA DEL SUR</t>
  </si>
  <si>
    <t>BO - ARGENTINA (Buenos Aires) - BO</t>
  </si>
  <si>
    <t>BO - URUGUAY (Montevideo) - BO</t>
  </si>
  <si>
    <t>BO - ECUADOR (Quito) - BO</t>
  </si>
  <si>
    <t>BO - VENEZUELA (Caracas) - BO</t>
  </si>
  <si>
    <t>BO - BRASIL (Brasilia) BO</t>
  </si>
  <si>
    <t>BO - CHILE (Santiago) - BO</t>
  </si>
  <si>
    <t>BO - PARAGUAY (Asunción) - BO</t>
  </si>
  <si>
    <t>BO - PERU (Lima) - BO</t>
  </si>
  <si>
    <t>BO - COLOMBIA (Bogotá) - BO</t>
  </si>
  <si>
    <t>AMERICA CENTRAL</t>
  </si>
  <si>
    <t>BO - SALVADOR (San Salvador) - BO</t>
  </si>
  <si>
    <t>BO - CUBA (La Habana) - BO</t>
  </si>
  <si>
    <t>AMERICA DEL NORTE</t>
  </si>
  <si>
    <t>BO - CANADA (Ottawa) - BO</t>
  </si>
  <si>
    <t>BO - EEUU (Washington) - BO</t>
  </si>
  <si>
    <t>BO - EEUU (Nueva York) - BO</t>
  </si>
  <si>
    <t>BO - EEUU (Miami) - BO</t>
  </si>
  <si>
    <t>EUROPA OCCIDENTAL</t>
  </si>
  <si>
    <t>BO - ESPAÑA - BO</t>
  </si>
  <si>
    <t>BO - FRANCIA - BO</t>
  </si>
  <si>
    <t>BO - ALEMANIA - BO</t>
  </si>
  <si>
    <t>Papel bond (tamaño carta) blanco</t>
  </si>
  <si>
    <t>Papel bond (tamaño oficio) blanco</t>
  </si>
  <si>
    <t>Papel bond (tamaño carta) celeste</t>
  </si>
  <si>
    <t>Papel bond (tamaño carta) amarillo</t>
  </si>
  <si>
    <t>Papel bond (tamaño carta) verde</t>
  </si>
  <si>
    <t>Papel para fax rollo de 30mts.</t>
  </si>
  <si>
    <t>Papel Cubo a colores</t>
  </si>
  <si>
    <t>Block</t>
  </si>
  <si>
    <t>Papel sabana t/pliego color beige</t>
  </si>
  <si>
    <t>Block papel amarillo rayado de 100h.</t>
  </si>
  <si>
    <t>Sobres blancos tamaño oficio</t>
  </si>
  <si>
    <t>Cartulina varios colores t/resma</t>
  </si>
  <si>
    <t>Ambientador en spray</t>
  </si>
  <si>
    <t>Frasco</t>
  </si>
  <si>
    <t>Detergente ACE</t>
  </si>
  <si>
    <t>Bolsa</t>
  </si>
  <si>
    <t>Silicona liquida para automotor</t>
  </si>
  <si>
    <t>Crema lustradora para automotor</t>
  </si>
  <si>
    <t>Ambientador solido arbolito</t>
  </si>
  <si>
    <t>Archivadores de palanca L.Ancho</t>
  </si>
  <si>
    <t>Disquetes de 3,5 plg.</t>
  </si>
  <si>
    <t>CDs tipo virgen 700 MB con tapa</t>
  </si>
  <si>
    <t>CD regrabable 700 MB con tapa</t>
  </si>
  <si>
    <t>Grapas pequeñas 24/6</t>
  </si>
  <si>
    <t>Clips medianos de 50mm.</t>
  </si>
  <si>
    <t>Clips pequeños 32mm.</t>
  </si>
  <si>
    <t>Post it 3*3 pequeño</t>
  </si>
  <si>
    <t>Pegamento UHU 21 grs</t>
  </si>
  <si>
    <t>Catridge serie C66915A negro</t>
  </si>
  <si>
    <t>Catridge serie C66925A tricolor</t>
  </si>
  <si>
    <t>Catridge serie: 93-C9362W tricolor</t>
  </si>
  <si>
    <t>Catridge serie: 92-C9362W negro</t>
  </si>
  <si>
    <t>Cinta YMCKO R3314 a color</t>
  </si>
  <si>
    <t>Banderillas plásticas a color</t>
  </si>
  <si>
    <t>Juego</t>
  </si>
  <si>
    <t>Tubos fluorescentes blancos</t>
  </si>
  <si>
    <t>Pilas Alcalinas AA</t>
  </si>
  <si>
    <t>Pilas Alcalinas AAA</t>
  </si>
  <si>
    <t>Mts.</t>
  </si>
  <si>
    <t>Cortapico toma corriente de 6 tomas</t>
  </si>
  <si>
    <t>Quemador de DVD p/computador</t>
  </si>
  <si>
    <t>Computador</t>
  </si>
  <si>
    <t>Impresora</t>
  </si>
  <si>
    <t>TOTAL</t>
  </si>
  <si>
    <t>REVISADO POR: (Director)</t>
  </si>
  <si>
    <t>V.B.  (Secretario Departamental)</t>
  </si>
  <si>
    <t>Cargo</t>
  </si>
  <si>
    <t xml:space="preserve"> V.B. (Secretario Departamental)</t>
  </si>
  <si>
    <t xml:space="preserve"> REVISADO POR : (Director) </t>
  </si>
  <si>
    <t xml:space="preserve"> REVISADO POR :  (Director)</t>
  </si>
  <si>
    <t>De</t>
  </si>
  <si>
    <t>Hasta</t>
  </si>
  <si>
    <t>GOBERNADOR</t>
  </si>
  <si>
    <t>SECRETARIOS DEPARTAMENTALES</t>
  </si>
  <si>
    <t>DIRECTORES TECNICOS</t>
  </si>
  <si>
    <t>OBJETO DE LA CONTRATACIÓN</t>
  </si>
  <si>
    <t>DURACIÓN</t>
  </si>
  <si>
    <t xml:space="preserve">TOTAL </t>
  </si>
  <si>
    <t>Tipo</t>
  </si>
  <si>
    <t>Medios de Verificación</t>
  </si>
  <si>
    <t>Oct</t>
  </si>
  <si>
    <t>PROYECTOS DE INVERSIÓN PÚBLICA</t>
  </si>
  <si>
    <t>DETERMINACIÓN DE SERVICIOS, MATERIALES, SUMINISTROS Y ACTIVOS FIJOS</t>
  </si>
  <si>
    <t>Viajes al área rural del Depto. La Paz</t>
  </si>
  <si>
    <t>BO - PANAMA (Panamá) - BO</t>
  </si>
  <si>
    <t>BO - MEXICO (México D.F.) - BO</t>
  </si>
  <si>
    <t>Viáticos</t>
  </si>
  <si>
    <t>Alquiler de edificios</t>
  </si>
  <si>
    <t>Consultoría por producto</t>
  </si>
  <si>
    <t>Consultoría de línea</t>
  </si>
  <si>
    <t>Lavandería, limpieza e higiene</t>
  </si>
  <si>
    <t>Gastos judiciales</t>
  </si>
  <si>
    <t>Periódicos y Boletines</t>
  </si>
  <si>
    <t>Combustibles , Productos Químicos, Farmacéuticos y Otros</t>
  </si>
  <si>
    <t>Llantas y Neumáticos</t>
  </si>
  <si>
    <t>Llantas y neumáticos</t>
  </si>
  <si>
    <t>Basurero material plástico tipo sesto</t>
  </si>
  <si>
    <t>Útiles de Escritorio y Oficina</t>
  </si>
  <si>
    <t>Folders Plástico</t>
  </si>
  <si>
    <t>Engrampadora pequeña</t>
  </si>
  <si>
    <t>Lápices</t>
  </si>
  <si>
    <t>Micropuntas</t>
  </si>
  <si>
    <t>Tóner serie C3903A</t>
  </si>
  <si>
    <t>Tóner serie C3906A</t>
  </si>
  <si>
    <t>Tóner serie C7115A</t>
  </si>
  <si>
    <t>Tóner serie C4092A</t>
  </si>
  <si>
    <t>Tóner serie C4096A</t>
  </si>
  <si>
    <t>Tóner serie Q7551A color negro</t>
  </si>
  <si>
    <t>Tóner serie Q5949A color negro</t>
  </si>
  <si>
    <t>Tóner serie Q6511A color negro</t>
  </si>
  <si>
    <t>Útiles y Materiales Eléctricos</t>
  </si>
  <si>
    <t>Tubos fluorescentes luz cálida</t>
  </si>
  <si>
    <t>Cable eléctrico Nº 12</t>
  </si>
  <si>
    <t>Batería para automotor</t>
  </si>
  <si>
    <t>Mouse óptico USB p/computador</t>
  </si>
  <si>
    <t>Transferencias a empresas privadas</t>
  </si>
  <si>
    <t>CONSULTORÍAS DE LÍNEA (Partida 25220)</t>
  </si>
  <si>
    <t>REMUNERACIÓN EQUIVALENTE A LA ESCALA SALARIAL</t>
  </si>
  <si>
    <t>MES PREVISTO INICIO DEL PROCESO</t>
  </si>
  <si>
    <t>CONSULTORÍAS POR PRODUCTO (Partida 25210)</t>
  </si>
  <si>
    <t>CONTRATACIÓN DE OBRAS/SUPERVISIÓN DE OBRA</t>
  </si>
  <si>
    <t>OBJETIVO DE LA CONTRATACIÓN</t>
  </si>
  <si>
    <t>CONTRATACIÓN DE BIENES Y/O SERVICIOS (Para Proyectos de inversión pública y Programas de capital)</t>
  </si>
  <si>
    <t>DETALLE DEL BIEN  Y/O SERVICIO</t>
  </si>
  <si>
    <t>OBJETIVO DE LA ADQUISICIÓN/SERVICIO</t>
  </si>
  <si>
    <t>CONTRATACIÓN DE BIENES Y/O SERVICIOS (Con Gasto Corriente)</t>
  </si>
  <si>
    <t>INFORMACIÓN SOBRE CONTRATACIÓN DE OBRAS, BIENES Y SERVICIOS</t>
  </si>
  <si>
    <t>MONTO TOTAL DE LA CONTRATACIÓN
(En Bs.)</t>
  </si>
  <si>
    <t>PERFIL DE LA EMPRESA</t>
  </si>
  <si>
    <t>FUENTE DE FINANCIAMIENTO - ORGANISMO FINANCIADOR</t>
  </si>
  <si>
    <t>MES PREVISTO INICIO DEL PROCESO DE CONTRATACIÓN</t>
  </si>
  <si>
    <t>ESPECIFICACIONES TÉCNICAS/TÉRMINOS DE REFERENCIA</t>
  </si>
  <si>
    <t>DENOMINACIÓN DE LA CONSULTORÍA</t>
  </si>
  <si>
    <t>Cargo/Denominación de la Consultoría</t>
  </si>
  <si>
    <t>Otros  (especificar) Tóner serie CE55A</t>
  </si>
  <si>
    <t>AFICHES - CAMPAÑAS</t>
  </si>
  <si>
    <t>AFICHES - TALLERES</t>
  </si>
  <si>
    <t>CARTILLAS</t>
  </si>
  <si>
    <t>Compra de lubricantes</t>
  </si>
  <si>
    <t>Otros  (especificar) Tóner serie C05A</t>
  </si>
  <si>
    <t>Flash Memory de 32 GB</t>
  </si>
  <si>
    <t>Muebles y enseres Sillas</t>
  </si>
  <si>
    <t>Muebles y enseres Escritorios</t>
  </si>
  <si>
    <t>REPUESTOS PARA LA CAMIONETA DE LA SECRETARIA</t>
  </si>
  <si>
    <t>REPUESTOS Y ACCESORIOS PARA EQUIPOS DE COMPUTACION</t>
  </si>
  <si>
    <t>GPS</t>
  </si>
  <si>
    <t>CAMARA FILMADORA DVD</t>
  </si>
  <si>
    <t>Monto (Bs.)</t>
  </si>
  <si>
    <t>NOMBRE DEL PROYECTO/ PROGRAMA DE CAPITAL 
(si corresponde)</t>
  </si>
  <si>
    <t>Servicios de Internet y Otros</t>
  </si>
  <si>
    <t xml:space="preserve">Mantenimiento y Reparación de Edificios </t>
  </si>
  <si>
    <t>Mantenimiento y Reparación de Maquinaria y Equipos</t>
  </si>
  <si>
    <t>Mantenimiento y Reparación de Muebles y enseres</t>
  </si>
  <si>
    <t>Lavandería, Limpieza e Higiene</t>
  </si>
  <si>
    <t xml:space="preserve">          Las partidas señaladas son enunciativas y no limitativas, se pueden añadir o suprimir partidas de este formulario, de acuerdo a requerimiento.</t>
  </si>
  <si>
    <t>PROGRAMA</t>
  </si>
  <si>
    <r>
      <t xml:space="preserve">Nota: Para llenar el formulario, actualizar los </t>
    </r>
    <r>
      <rPr>
        <b/>
        <sz val="7"/>
        <rFont val="Arial Narrow"/>
        <family val="2"/>
      </rPr>
      <t>Precios Unitarios</t>
    </r>
    <r>
      <rPr>
        <sz val="7"/>
        <rFont val="Arial Narrow"/>
        <family val="2"/>
      </rPr>
      <t xml:space="preserve"> en coordinación con la Dirección Financiera y Dirección Administrativa</t>
    </r>
  </si>
  <si>
    <t>COD. PROD</t>
  </si>
  <si>
    <t>COD. PROG</t>
  </si>
  <si>
    <t>POND PROD</t>
  </si>
  <si>
    <t>PON
PROD</t>
  </si>
  <si>
    <t>Responsables
(cargo/iniciales)</t>
  </si>
  <si>
    <t>FIRMA Y SELLO</t>
  </si>
  <si>
    <t>Personal Permanente</t>
  </si>
  <si>
    <t>Cod. Producto</t>
  </si>
  <si>
    <t xml:space="preserve">N° </t>
  </si>
  <si>
    <t>NOMBRE DEL PROYECTO</t>
  </si>
  <si>
    <t>FASE</t>
  </si>
  <si>
    <t>METAS PROGRAMADAS DEL PROYECTO</t>
  </si>
  <si>
    <t>AV. PROGR.</t>
  </si>
  <si>
    <t>AV. EJEC.</t>
  </si>
  <si>
    <t>CONT/NUEVO</t>
  </si>
  <si>
    <t>Unidad de medida</t>
  </si>
  <si>
    <t>Cantidad Tot.</t>
  </si>
  <si>
    <t>Ppto. Ejec. Acum</t>
  </si>
  <si>
    <t>Acum.</t>
  </si>
  <si>
    <t>PRESUPUESTO (Bs.)</t>
  </si>
  <si>
    <r>
      <t xml:space="preserve">AV. FÍSICO </t>
    </r>
    <r>
      <rPr>
        <b/>
        <u/>
        <sz val="10"/>
        <rFont val="Arial Narrow"/>
        <family val="2"/>
      </rPr>
      <t>PARCIAL</t>
    </r>
    <r>
      <rPr>
        <b/>
        <sz val="10"/>
        <rFont val="Arial Narrow"/>
        <family val="2"/>
      </rPr>
      <t xml:space="preserve"> 2016 (%)</t>
    </r>
  </si>
  <si>
    <t>COSTO TOTAL (Bs.)</t>
  </si>
  <si>
    <t>AVANCE FÍSICO (%)</t>
  </si>
  <si>
    <t>ESTADO</t>
  </si>
  <si>
    <t>RESPONSABLE
Fiscal o Supervisor</t>
  </si>
  <si>
    <t>GADLP</t>
  </si>
  <si>
    <t>OTROS</t>
  </si>
  <si>
    <t>PROVINCIA</t>
  </si>
  <si>
    <t>MUNICIPIO</t>
  </si>
  <si>
    <t>NOMBRE DEL PROGRAMA</t>
  </si>
  <si>
    <t>METAS PROGRAMADAS DEL PROGRAMA</t>
  </si>
  <si>
    <t>TIPO DE GASTO
(Inversión/ Gasto Corriente)</t>
  </si>
  <si>
    <t>PNR/PR</t>
  </si>
  <si>
    <t>DETERMINACIÓN DE ACTIVIDADES</t>
  </si>
  <si>
    <t>Productos/Actividades</t>
  </si>
  <si>
    <t>Meta Esperada del Producto/
Metas de las Actividades</t>
  </si>
  <si>
    <t>PON
ACT</t>
  </si>
  <si>
    <t>Reducir las desigualdades de género a partir de la promoción del ejercicio de los derechos de las mujeres y el empoderamiento de las mismas.</t>
  </si>
  <si>
    <t>Fortalecer las capacidades para hacer frente a situaciones adversas y generar oportunidades de empoderamiento económico y político para la población en situación de vulnerabilidad.</t>
  </si>
  <si>
    <t>3.2</t>
  </si>
  <si>
    <t>3.2.2</t>
  </si>
  <si>
    <t>DEBILIDADES
(Internas)</t>
  </si>
  <si>
    <t>OPORTUNIDADES
(Externas)</t>
  </si>
  <si>
    <t>AMENAZAS
(Externas)</t>
  </si>
  <si>
    <t>Programa de sensibilización para la igualdad de género, inclusión familiar y prevención de toda forma de violencia</t>
  </si>
  <si>
    <t>Programa personas con discapacidad</t>
  </si>
  <si>
    <t>Programa para niños y niños y adolescentes</t>
  </si>
  <si>
    <t>Programa para jóvenes</t>
  </si>
  <si>
    <t>Programa de fortalecimiento y revalorización de las culturas e identidad paceña</t>
  </si>
  <si>
    <t>Programas,  para la regulación, administración y gestión del Patrimonio Cultural que generen alternativas de Desarrollo para el Departamento de La Paz.</t>
  </si>
  <si>
    <t>3.2.3</t>
  </si>
  <si>
    <t>3.7</t>
  </si>
  <si>
    <t>3.7.1</t>
  </si>
  <si>
    <t>3.7.2</t>
  </si>
  <si>
    <t>3.7.3</t>
  </si>
  <si>
    <t>3.7.4</t>
  </si>
  <si>
    <t>3.8.1</t>
  </si>
  <si>
    <t>3.8.2</t>
  </si>
  <si>
    <t>3.2.2.1</t>
  </si>
  <si>
    <t>3.2.3.1</t>
  </si>
  <si>
    <t>3.7.1.1</t>
  </si>
  <si>
    <t>3.7.1.2</t>
  </si>
  <si>
    <t>3.7.2.1</t>
  </si>
  <si>
    <t>3.7.2.2</t>
  </si>
  <si>
    <t>3.7.3.1</t>
  </si>
  <si>
    <t>3.7.3.2</t>
  </si>
  <si>
    <t>3.7.4.1</t>
  </si>
  <si>
    <t>3.7.4.2</t>
  </si>
  <si>
    <t>3.8.1.1</t>
  </si>
  <si>
    <t>3.8.1.2</t>
  </si>
  <si>
    <t>3.8.2.1</t>
  </si>
  <si>
    <t>3.8.2.2</t>
  </si>
  <si>
    <t>PRODUCTOS
(BIEN, SERVICIO O NORMA)</t>
  </si>
  <si>
    <t>INDICADOR O MEDIDA
(DE PRODUCTO)</t>
  </si>
  <si>
    <t>Cod. 
Acción
Prod/ Activ</t>
  </si>
  <si>
    <t>CONT/
NUEVO</t>
  </si>
  <si>
    <t>FORMULARIO Nº 6 (A)</t>
  </si>
  <si>
    <t xml:space="preserve">PRODUCTOS DE LA GESTIÓN ARTICULADOS A LAS ACCIONES DE MEDIANO PLAZO </t>
  </si>
  <si>
    <t>POND ACC</t>
  </si>
  <si>
    <t>Programa para adultos mayores</t>
  </si>
  <si>
    <t>DESARROLLO DE LA GESTION SOCIAL</t>
  </si>
  <si>
    <t xml:space="preserve">PROMOCION Y CONSERVACION DE CULTURA Y PATRIMONIO </t>
  </si>
  <si>
    <t>DESARROLLO DE LA GESTIÓN SOCIAL</t>
  </si>
  <si>
    <t>DEFENSA Y PROTECCION DE LA NIÑEZ Y ADOSLECENCIA</t>
  </si>
  <si>
    <t>ACCIONES DE MEDIANO PLAZO</t>
  </si>
  <si>
    <t>ACCIONES DE CORTO PLAZO</t>
  </si>
  <si>
    <t>COD
ACC
MP</t>
  </si>
  <si>
    <t>COD ACC CP</t>
  </si>
  <si>
    <t>PON
ACC</t>
  </si>
  <si>
    <t>PROGRAMAS NO RECURRENTES</t>
  </si>
  <si>
    <t>PRESUPUESTO REQUERIDO 2020</t>
  </si>
  <si>
    <t>META 2021</t>
  </si>
  <si>
    <t>RESUMEN PRESUPUESTO 2021</t>
  </si>
  <si>
    <r>
      <rPr>
        <b/>
        <sz val="10"/>
        <rFont val="Arial Narrow"/>
        <family val="2"/>
      </rPr>
      <t>NOTA:</t>
    </r>
    <r>
      <rPr>
        <sz val="10"/>
        <rFont val="Arial Narrow"/>
        <family val="2"/>
      </rPr>
      <t xml:space="preserve"> El presente formulario debe ser elaborado en función al Formulario de "Requerimiento de Presupuesto de Gastos" del Anteproyecto de Presupuesto Gestión 2020.</t>
    </r>
  </si>
  <si>
    <t>Cantidad 2021</t>
  </si>
  <si>
    <t>Gest. 2020</t>
  </si>
  <si>
    <t>Monto proyectado Ejecutar: 
Jul-Dic/2020</t>
  </si>
  <si>
    <t>Ppto. Requerido 2021</t>
  </si>
  <si>
    <t>SECRETARÍA O SERVICIO DEPARTAMENTAL DE GESTION SOCIAL</t>
  </si>
  <si>
    <t>3.2.2.1.1</t>
  </si>
  <si>
    <t>3.2.2.1.2</t>
  </si>
  <si>
    <t>3.2.2.1.3</t>
  </si>
  <si>
    <t>3.2.2.1.4</t>
  </si>
  <si>
    <t>3.2.2.1.5</t>
  </si>
  <si>
    <t>3.2.2.1.6</t>
  </si>
  <si>
    <t xml:space="preserve">Se cuenta con Manual de Organización y Funciones de la Institución.  </t>
  </si>
  <si>
    <t>Presupuesto reducido para el oportuno mantenimiento, refacción, remodelación y construcción de las infraestructuras de los Centros de Acogida y Reintegración Social (en varios casos son infraestructuras antiguas y readecuadas).</t>
  </si>
  <si>
    <t xml:space="preserve">Insuficiente equipamiento en algunas áreas de los Centros de Acogida y Centros de Reintegración Social.  </t>
  </si>
  <si>
    <t>Inestabilidad funcionaria por cambios permanentes de las servidoras y servidores publicos de la Institución.</t>
  </si>
  <si>
    <t xml:space="preserve">La infraestructura de algunos Centros es compartida con otras oficinas, almacenes, organizaciones y otras. </t>
  </si>
  <si>
    <t>No se cuenta con un sistema de base de datos estadisticos que centralice la información general de los Centros de Acogida.</t>
  </si>
  <si>
    <t xml:space="preserve">Falta de Programas con modelos y enfoque de atención adecuados a la población de cada Centro de Acogida. </t>
  </si>
  <si>
    <t>Remuneración salarial no acorde a la función y responsabilidad laboral.</t>
  </si>
  <si>
    <t>Instituciones gubernamentales, no gubernamentales y personas voluntarias apoyan en la atencion a la población acogida.</t>
  </si>
  <si>
    <t>Suscripción y acuerdos interinstitucionales a favor de las diferentes áreas de intervención.</t>
  </si>
  <si>
    <t>Alianzas estratégicas con instituciones publicas y privadas para el logro de los objetivos en beneficio de la población acogida.</t>
  </si>
  <si>
    <t xml:space="preserve">Las contraraciones del personal son por tiempo reducido que interfiere en las actividades desarrolladas a favor de la población atendida.
</t>
  </si>
  <si>
    <t>Falta de creacion y dotación de nuevos items por parte de TGN para una atención oportuna a la población beneficiaria.</t>
  </si>
  <si>
    <t>Los predios de algunos Centros de Acogida se encuentran en riesgo de usurpación de instancias externas por la falta de documentación de derecho propietario.</t>
  </si>
  <si>
    <t xml:space="preserve">Algunas alianzas estrategicas interinstitucionales buscan beneficios propios y no dirigidos a la población atendida. </t>
  </si>
  <si>
    <t>Se cuenta con Protocolos de Atención de los Centros de Reintegración Social Varones y Mujeres con Resolución</t>
  </si>
  <si>
    <t xml:space="preserve">Los Centros cuentan con las medidas de protección de la atención que se brinda a la población beneficiaria (cámaras de vigilancia, control de seguridad policial). </t>
  </si>
  <si>
    <t>FORTALEZAS
Internas</t>
  </si>
  <si>
    <t xml:space="preserve">Se cuenta con el Sistema Departamental Estadistico de Niñas, Niños y Adolescentes en proceso de implementación.  </t>
  </si>
  <si>
    <t>Población acogida con discapacidad cuentan con terapias ocupacionales, mejorando su autonomia personal y calidad de vida.</t>
  </si>
  <si>
    <t>La Unidad de Acreditación y Control de Centros  se constituye en un referente nacional para los SEDEGES, en la implementación de normativas Ley N° 56 y DD N° 59</t>
  </si>
  <si>
    <t>Se tiene Insuficientes recursos económicos para la adquisición de medicamentos en beneficio de la población acogida.</t>
  </si>
  <si>
    <t>La caracteristica de población transitoria en Centros impide realizar procesos de capacitación.</t>
  </si>
  <si>
    <t>Se tiene ausencia de bases legales en el Decreto Departamental N° 059 para la apertura y acreditación de Centros del area rural y para aplicar en la reapertura de los Centros infractores.</t>
  </si>
  <si>
    <t>Reconocimiento del Programa CEPAT a nivel interinstitucional, en cuanto a sus componentes de prevencion y atencion terapeutica</t>
  </si>
  <si>
    <t>Ausencia de voluntad politica en ciertos  Municipios, para la aplicación de medidas de prevencion de la violencia sexual y terapia a victimas</t>
  </si>
  <si>
    <t>Ingerencia de instituciones privadas en temas de prevencion primaria y secundaria, lo que impide la cobertura en todos los Municipios</t>
  </si>
  <si>
    <t>El numero de personal del equipo de auditoría interna, es insuficiente para el desarrollo de sus funciones con relación a la magnitud de Unidades dependientes del SEDEGES, volumen de operaciones y requerimiento de auditorias solicitadas.</t>
  </si>
  <si>
    <t>La Unidad de Auditoria Interna coordina la ejecución de su trabajo  con la U.A.I. del Gobierno Autónomo Departamental de La Paz.</t>
  </si>
  <si>
    <t>La falta de documentación respaldatoria a las operaciones desarrolladas en la entidad, ocasionada por la inestabilidad funcionaria da lugar muchas veces a la emisión inoportuna de informes de auditoria.</t>
  </si>
  <si>
    <t xml:space="preserve">Se cuenta con Criterios Técnicos para Idoneidad en procesos de Adopción.  </t>
  </si>
  <si>
    <t xml:space="preserve">Se cuenta con un equipo técnico Responsable para el Monitoreo de familias Adoptantes.       </t>
  </si>
  <si>
    <t xml:space="preserve">Se cuenta con Reglamentos Internos de los Centros de Acogida y Reintegración los cuales se encuentran en proceso de aprobación.       </t>
  </si>
  <si>
    <t>Los Centros de acogida de Niñas, Niños y Adolescentes cuentan con Protocolo de Atención con Resolución Administrativa.</t>
  </si>
  <si>
    <t xml:space="preserve">Se cuenta con un Programa de Fortalecimiento para la capacitación a la población atendida de los Centros de Acogida y Reintegración en función a sus potencialidades y habilidades.        </t>
  </si>
  <si>
    <t>Los Centros de Acogida, de Reintegración e Institutos, cuentan con la provisión de alimentos adecuada, balanceada y oportuna</t>
  </si>
  <si>
    <t>Se ejecuto  acciones tendientes a transparentar la gestión pública a través de Rendiciones de Cuentas Públicas.</t>
  </si>
  <si>
    <t>Insuficiente numero de Recursos Humanos en los Centros del SEDEGES para la atención a la población beneficiaria.</t>
  </si>
  <si>
    <t>Participación activa del personal en las redes de instituciones a fines a la temática de atención en representación institucional.</t>
  </si>
  <si>
    <t>Presupuesto limitado del SEDEGES no permite cubrir con todas las necesidades de los Centros de Acogida, de Reintegración  e Institutos y a la vez ejecutar las actividades programadas.</t>
  </si>
  <si>
    <t xml:space="preserve">Situaciones de emergencia imprevistas a nivel municipal, departamental y nacional que obstaculizan el desarrollo normal de las actividades.  </t>
  </si>
  <si>
    <t xml:space="preserve">Nº  de beneficiarios  </t>
  </si>
  <si>
    <t>N° de Niñas y niños, beneficiarios del Programa.</t>
  </si>
  <si>
    <t>5.213 Niñas y niños de centros infantiles de municipios en convenio.</t>
  </si>
  <si>
    <t xml:space="preserve">N° de Adolescentes con responsabilidad penal </t>
  </si>
  <si>
    <t>74 adolescentes con responsabilidad penal  recibieron atencion</t>
  </si>
  <si>
    <t xml:space="preserve">N° de Adolescentes exentos de responsabilidad penal </t>
  </si>
  <si>
    <t>352 personas benficiadas con atencion psicoteraputica especializada</t>
  </si>
  <si>
    <t>100 (mujeres) recibieron atención  integral, en el SEDEGES</t>
  </si>
  <si>
    <t>330 UDAC Y 180 DISCAPACIDAD</t>
  </si>
  <si>
    <t>3.2.2.1.7</t>
  </si>
  <si>
    <t>3.2.2.1.8</t>
  </si>
  <si>
    <t>3.2.2.1.9</t>
  </si>
  <si>
    <t>3.2.2.1.10</t>
  </si>
  <si>
    <t xml:space="preserve">5 informes de evaluaciones y ajustes realizados </t>
  </si>
  <si>
    <t>Unidad de Administración de Centros.
*Trabajo Social *Psicología 
*Nutrición 
*Pedagogía 
* Médica</t>
  </si>
  <si>
    <t>Realizar la supervision a los Centros e Institutos dependientes del SEDEGES.</t>
  </si>
  <si>
    <t>Realizar la solicitud de adquisición de vestuario  para  la  población acogida de los Centros e Institutos de administracion directa del SEDEGES.</t>
  </si>
  <si>
    <t>2  Solicitudes de adquisición elaborada.</t>
  </si>
  <si>
    <t xml:space="preserve">Unidad de Administración de Centros.
*Jefe de Unidad 
</t>
  </si>
  <si>
    <t>Realizar la solicitud de adquisición de  calzados para la poblaciòn acogida de los Centros e Institutos de administracion directa del SEDEGES.</t>
  </si>
  <si>
    <t>2  Solicitudes de adquisición elaboradas.</t>
  </si>
  <si>
    <t>Realizar la solicitud de adquisición de  textiles para la  poblaciòn acogida de los Centros e Institutos de administracion directa del SEDEGES.</t>
  </si>
  <si>
    <t>Efectuar la evaluación nutricional de la población beneficiaria de los Centros e Institutos de Administración directa del SEDEGES.</t>
  </si>
  <si>
    <t>Realizar la solicitud de adquisición de viveres frescos: carnes y derivados; productos lacteos, huevo, verduras y frutas para Centros e Institutos de Administración directa del SEDEGES.</t>
  </si>
  <si>
    <t>10 solicitudes de adquisición de carnes y derivados; productos lacteos, huevo, verduras y frutas.</t>
  </si>
  <si>
    <t>4 solicitudes de adquisición de viveres secos y fórmulas lácteas efectuados.</t>
  </si>
  <si>
    <t>Realizar la solicitud de adquisición de Suplementos Nutricionales para Centros e Institutos de Administración directa del SEDEGES.</t>
  </si>
  <si>
    <t>2 solicitudes de adquisición realizada.</t>
  </si>
  <si>
    <t>1 solicitud de adquisición realizada .</t>
  </si>
  <si>
    <t>Realizar la solicitud de adquisición de uniformes para el personal de cocina y economato de los Centros e Institutos de Administración directa del SEDEGES.</t>
  </si>
  <si>
    <t xml:space="preserve">1 solicitud de adquisición de uniformes realizada. </t>
  </si>
  <si>
    <t xml:space="preserve">1  Solicitud realizada para la adquisición.  </t>
  </si>
  <si>
    <t xml:space="preserve">Unidad de Administración de Centros.
*Pedagogía 
</t>
  </si>
  <si>
    <t>2 Solicitudes de adquisición realizadas .</t>
  </si>
  <si>
    <t>1 Solicitud de adquisiciòn realizada.</t>
  </si>
  <si>
    <t>1 Solicitud realizada.</t>
  </si>
  <si>
    <t>Realizar la solicitud de  adquisición de material de apoyo para capacitaciones y de tareas pedagogicas (herramientas menores, productos minerales no metalicos plasticos) para los  beneficiarios de los Centros e Institutos del SEDEGES.</t>
  </si>
  <si>
    <t>2 informes de seguimiento realizados.</t>
  </si>
  <si>
    <t>Efectuar el seguimiento a los niveles de aprovechamiento pedagógico de la población que se encuentra en proceso educativo.</t>
  </si>
  <si>
    <t>3 seguimientos al aprovechamiento pedagógico realizado.</t>
  </si>
  <si>
    <t>Efectuar talleres o capacitaciones a personal tecnico, personal de apoyo y/o población acogida en Centros e Institutos de Administración directa del SEDEGES.</t>
  </si>
  <si>
    <t>6 Talleres o capacitaciones realizados.</t>
  </si>
  <si>
    <t>Realizar la supervisión a Centros de atención a Niñez y Adolescencia dependientes de la Unidad de Administración de Centros del SEDEGES.</t>
  </si>
  <si>
    <t xml:space="preserve">25  supervisiones y control realizados . 
</t>
  </si>
  <si>
    <t xml:space="preserve">Unidad de Administración de Centros.
*Trabajo Social </t>
  </si>
  <si>
    <t xml:space="preserve">Unidad de Administración de Centros.
Trabajo Social 
</t>
  </si>
  <si>
    <t>Realizar el registro de las diversas problematicas sociales  con Resolución de Acogimiento, Resolución Judicial, Resolución Administrativa y otros en Centros de atención a Niñez y Adolescencia .</t>
  </si>
  <si>
    <t xml:space="preserve">Unidad de Administración de Centros.
*Trabajo Social 
</t>
  </si>
  <si>
    <t>Unidad de Administración de Centros.
Psicología</t>
  </si>
  <si>
    <t xml:space="preserve">Unidad de Administración de Centros.
Salud.
</t>
  </si>
  <si>
    <t>Informes</t>
  </si>
  <si>
    <t xml:space="preserve">Actas e Informes  de Supervisión e Informes </t>
  </si>
  <si>
    <t>Solicitud de adquisiciòn</t>
  </si>
  <si>
    <t>Evaluaciones, informes, registros</t>
  </si>
  <si>
    <t>Solicitud de adquisición</t>
  </si>
  <si>
    <t>Informe de seguimiento</t>
  </si>
  <si>
    <t>Regsitros, Informes de capacitaciones.</t>
  </si>
  <si>
    <t>Informes mensuales, semestral y anual.</t>
  </si>
  <si>
    <t>Informes mensuales consolidados.</t>
  </si>
  <si>
    <t>Informes, registros</t>
  </si>
  <si>
    <t>Realizar la supervisión a Centros  de acogida de atención a  personas adultas mayores dependientes de la Unidad de Administración de Centros del SEDEGES.</t>
  </si>
  <si>
    <t>Unidad de Administración de Centros.
*Trabajo Social 
*Psicología 
*Nutrición 
*Pedagogía 
*Médica</t>
  </si>
  <si>
    <t>Realizar la atención a traves del seguimiento y verificación de la intervención y acciones del área de Trabajo Social en beneficio de la población en situacion de vulnerabilidad,  dependientes de la Unidad de Administración de Centros del SEDEGES.</t>
  </si>
  <si>
    <t>13 acogimientos realizados promedio/mes en los Centros de Administración directa de atención  a personas adultas mayores</t>
  </si>
  <si>
    <t>Realizar el registro de las diversas problematicas sociales  con Resolución de Acogimiento, Resolución Judicial, Resolución Administrativa y otros.</t>
  </si>
  <si>
    <t xml:space="preserve">
Realizar la atención a traves del seguimiento y verificación de la intervención de las acciones del área de Psicología en beneficio de la población acogida en los Centros dependientes de la Unidad de Administración de Centros del SEDEGES.
- Intervención Terapeutica: Individual, Grupal y Familiar 
- Seguimiento a las acciones de área.
- Informes psicologicos.
</t>
  </si>
  <si>
    <t xml:space="preserve">Unidad de Administración de Centros.
Supervisión de Centros de Acogida.
*Psicología  
</t>
  </si>
  <si>
    <t xml:space="preserve">Actas e Informes  de Supervisión </t>
  </si>
  <si>
    <t>Informes consolidados
registros</t>
  </si>
  <si>
    <t>Registro de egresos
Informes mensuales consolidados</t>
  </si>
  <si>
    <t xml:space="preserve">Informes mensuales </t>
  </si>
  <si>
    <t xml:space="preserve">12 acogimientos realizados promedio/mes en los Centros de Administración directa de atención  mujeres e hijos victimas de violencia </t>
  </si>
  <si>
    <t>Realizar el registro de las diversas problematicas sociales  con Resolución de Acogimiento, Resolución Judicial, Resolución Administrativa y otros, dependientes de la Unidad de Administración de Centros del SEDEGES..</t>
  </si>
  <si>
    <t xml:space="preserve">12 egresos realizados promedio/mes en los Centros  de atención a muejeres e hijos victimas de violencia.
</t>
  </si>
  <si>
    <t>Realizar la atención a traves del seguimiento y verificación de la intervención de las acciones del área de Psicología en beneficio de la población acogida en los  Centros dependientes de la Unidad de Administración de Centros del SEDEGES.
- Intervención Terapeutica: Individual, Grupal y Familiar 
- Seguimiento a las acciones de área.
- Informes psicologicos.</t>
  </si>
  <si>
    <t>35 atenciones en medicina general y especialidad  promedio/mes en los Centros de atención a mujeres  y sus dependientes.</t>
  </si>
  <si>
    <t>Realizar evaluaciones y reevaluaciones en el area de NEUROPEDIATRÍA de la población externa. (No se realiza evaluaciones a la poblacion acogida por contar con Diagnostico de Base)</t>
  </si>
  <si>
    <t xml:space="preserve">Unidad de Salud 
I.D.A.I.
Médico Pediatra </t>
  </si>
  <si>
    <t>Realizar evaluaciones y re-evaluaciones y diagnósticos en PSIQUIATRÍA a la población externa y acogida (No se realiza evaluaciones a la poblacion acogida por contar con Diagnostico de Base)</t>
  </si>
  <si>
    <t>720 Evaluaciones y reevaluaciones realizadas:
* 320 Reevaluaciones a poblacion acogida.
* 400 Evaluaciones y reevaluaciones  a la poblacipon externa.</t>
  </si>
  <si>
    <t xml:space="preserve">Unidad de Salud
I.D.A.I
Psiquiatria                         </t>
  </si>
  <si>
    <t xml:space="preserve">Realizar  intervenciones en el area de Trabajo Social con la poblacion externa a requerimiento.                                                          </t>
  </si>
  <si>
    <t xml:space="preserve">200 Intervenciones efectuadas.         </t>
  </si>
  <si>
    <t xml:space="preserve">Unidad de Salud
IDAI 
Trabajo Social             </t>
  </si>
  <si>
    <t xml:space="preserve">Realizar intervenciones en el area de  PSICOLOGÍA  a la población externa. </t>
  </si>
  <si>
    <t xml:space="preserve">470 Intervenciones efectuadas.        </t>
  </si>
  <si>
    <t xml:space="preserve">Unidad de Salud
IDAI
Psicologia                            </t>
  </si>
  <si>
    <t xml:space="preserve">Realizar intervenciones con la poblacion acogida y población externa en el area de ESTIMULACIÓN TEMPRANA </t>
  </si>
  <si>
    <t xml:space="preserve"> 400 intervenciones efectuadas:
* 70 con la población acogida 
* 330 con la población externa</t>
  </si>
  <si>
    <t xml:space="preserve">Unidad de Salud
IDAI
Estimulación Temprana                      </t>
  </si>
  <si>
    <t>Realizar Re-evaluaciones /evoluciones a la poblacion acogida y poblacion externa en el area de PSICOPEDAGOGIA.</t>
  </si>
  <si>
    <t>570 Re-evaluaciones/ evoluciones efectuadas:
* 90 a poblacion acogida  
* 480 a población externa</t>
  </si>
  <si>
    <t xml:space="preserve">Unidad de Salud 
IDAI 
Psicopedagogia                </t>
  </si>
  <si>
    <t>Realizar  evaluaciones, re-evaluaciones /evoluciones a la poblacion acogida y población externa en FISIOTERAPIA.</t>
  </si>
  <si>
    <t xml:space="preserve"> 800 evaluaciones, re-evaluaciones /evoluciones:
* 400 Reevaluaciones/ evoluciones con la población acogida
* 400 Evaluaciones y reevaluaciones efectuadas con la población externa.</t>
  </si>
  <si>
    <t xml:space="preserve">Unidad de Salud
IDAI
Fisioterapia                    </t>
  </si>
  <si>
    <t>Realizar Evoluciones, re-evaluaciones/ evoluciones a la poblacion acogida y población externa en el area de FONOAUDIOLOGIA .</t>
  </si>
  <si>
    <t>800 evaluaciones, re-evaluaciones /evoluciones:
* 200 Reevaluaciones/ evoluciones con la población acogida
* 600 Evaluaciones y reevaluaciones efectuadas con la población externa.</t>
  </si>
  <si>
    <t xml:space="preserve">Unidad de Salud 
IDAI 
Fonoaudiologa                 </t>
  </si>
  <si>
    <t xml:space="preserve">Realizar intervenciones, re-evaluaciones /evoluciones a la poblacion acogida  y población externa en el area de MULTISENSORIAL </t>
  </si>
  <si>
    <t>330 intervenciones, re-evaluaciones /evoluciones:
* 300 Reevaluaciones/ evoluciones con la población acogida
* 30 intervenciones con la población externa.</t>
  </si>
  <si>
    <t xml:space="preserve">Unidad de Salud
IDAI
Terapias Multisensoriales           </t>
  </si>
  <si>
    <t xml:space="preserve"> 8 solictudes efectuadas</t>
  </si>
  <si>
    <t xml:space="preserve">Unidad de Salud
Jefatura de Unidad </t>
  </si>
  <si>
    <t>Realizar la solicitud de:
*  Insumos y material de curacion area medica.
* Medicamentos 
* Insumos odontológicos
* Insumos de laboratorio clínico
* Insumos de Radiologia y ortesis
* Equipo médico</t>
  </si>
  <si>
    <t>Realizar atenciones en el area de fisioterapia a la población acogida.</t>
  </si>
  <si>
    <t>1200 atenciones realizadas</t>
  </si>
  <si>
    <t xml:space="preserve">Unidad de Salud
Instituto Erick Boulter
Fisioterapia </t>
  </si>
  <si>
    <t>Realizar atenciones en el area de fonoaudiologia a la población acogida y población externa.</t>
  </si>
  <si>
    <t>600 atenciones realizadas</t>
  </si>
  <si>
    <t xml:space="preserve">Unidad de Salud
Instituto Erick Boulter
Fonoaudiologa  </t>
  </si>
  <si>
    <t>Realizar audiometrias a la población acogida  y población externa.</t>
  </si>
  <si>
    <t>24 Audiometrias realizadas</t>
  </si>
  <si>
    <t xml:space="preserve">Unidad de Salud
Instituto Erick Boulter
Fonoaudiologia </t>
  </si>
  <si>
    <t>Realizar toma de placas radiograficas a población acogida y  beneficiarios externos.</t>
  </si>
  <si>
    <t>Unidad de Salud
IRI
Radiologia</t>
  </si>
  <si>
    <t>Realizar la confección de aparatos ortésicos para población acogida y beneficiarios externos.</t>
  </si>
  <si>
    <t>408 confecciones y/o reacondicionamiento de aparatos ortesicos realizados
* 120 a poblacion  acogida
* 288 a beneficiarios externos</t>
  </si>
  <si>
    <t>Unidad de Salud
IRI
Ortesis</t>
  </si>
  <si>
    <t>Realizar atenciones a beneficiarios externos en el área de fisioterapia y kinesiologia.</t>
  </si>
  <si>
    <t>2100 Atenciones efectuadas:
* 1500 a poblacipon externa.
* 600 a población interna.</t>
  </si>
  <si>
    <t>Unidad de Salud
IRI
Fisioterapia y Kinesiologia</t>
  </si>
  <si>
    <t>Realizar la atención a poblacion acogida y beneficiarios externos con pruebas de laboratorio clinico.</t>
  </si>
  <si>
    <t xml:space="preserve">1176 beneficiarios  con pruebas clinicas realizadas
</t>
  </si>
  <si>
    <t>Unidad de Salud
IRI
Laboratorio Clinico</t>
  </si>
  <si>
    <t xml:space="preserve">11640  beneficiarios  con pruebas clinicas realizadas:
</t>
  </si>
  <si>
    <t>Realizar atenciones y tratamientos por traumatologia - ortopedia o fisiatria a beneficiarios de la comunidad.</t>
  </si>
  <si>
    <t>720 beneficiarios atendidos de la comunidad.</t>
  </si>
  <si>
    <t>Unidad de Salud
IRI
Traumatologia - Fisiatria</t>
  </si>
  <si>
    <t>Realizar tratamientos a población acogida por odontologia.</t>
  </si>
  <si>
    <t>1500 Tratamientos a población acogida</t>
  </si>
  <si>
    <t>Unidad de Salud
Odontologia</t>
  </si>
  <si>
    <t xml:space="preserve">Unidad de Salud
IRI
IDAI
IEB
Kallutaca
Yanancachi    
Area Medica                     </t>
  </si>
  <si>
    <t>Realizar intervenciones  en el area de Trabajo Social a la poblacipón acogida.</t>
  </si>
  <si>
    <t>1450 Intervenciones Sociales efectuadas:
*  1000 Intervenciones Sociales  IDAI
*  100 Intervenciones Sociales IRI
*   350 Intervenciones Sociales  IEB</t>
  </si>
  <si>
    <t>Unidad de Salud 
IDAI
IRI
IEB
Centro Kallutaca
Yanacachi</t>
  </si>
  <si>
    <t>Realizar intervenciones en el area de PSICOLOGIA a la poblacion acogida.</t>
  </si>
  <si>
    <t>380 Intervenciones efectuadas:
* 150 Intervenciones  IDAI
* 80 intervenciones  IRI
* 150 Intervenciones  IEB</t>
  </si>
  <si>
    <t xml:space="preserve">Unidad de Salud
IRI
IDAI
IEB
Psicologia                            </t>
  </si>
  <si>
    <t>Efectuar el registro de egresos de la población atendida en los Centros e Institutos.</t>
  </si>
  <si>
    <t xml:space="preserve">6 egresos realizados de la población en los Centros .
</t>
  </si>
  <si>
    <t xml:space="preserve">Unidad de Salud
IRI
IDAI
IEB
Kallutaca
Yanancachi    
Trabajo Social                      </t>
  </si>
  <si>
    <t>Efectuar los acogimientos  por orden judicial y otros de la población en situación de riesgo y protección en  Centros  e Institutos dependientes del SEDEGES</t>
  </si>
  <si>
    <t>7 acogimientos realizados en  los Centros e Institutos dependientes de la Unidad de Salud.</t>
  </si>
  <si>
    <t>Supervisar y brindar apoyo tecnico a Centros de Atención a Personas con Discapacidad</t>
  </si>
  <si>
    <t>20 Supervisiones efectuadas</t>
  </si>
  <si>
    <t>Unidad de Salud
Equipo de Supervisión</t>
  </si>
  <si>
    <t xml:space="preserve">Supervisar y brindar apoyo tecnico en el area de Farmacia  a Centros e institutos de acogimiento dependientes del SEDEGES  </t>
  </si>
  <si>
    <t>36 atenciones en medicina general, en los Centros e institutos de acogida de personas con discapacidad.</t>
  </si>
  <si>
    <t xml:space="preserve">Unidad de Salud
Area de Farmacia                   </t>
  </si>
  <si>
    <t>Historias Clínicas Neuropediatria.</t>
  </si>
  <si>
    <t>Hoja Psiquiatrica.</t>
  </si>
  <si>
    <t>Ficha Social
Hoja Interdisciplinaria 
Registro Diario.</t>
  </si>
  <si>
    <t>Historias Clínicas
Hojas de Psicologia.</t>
  </si>
  <si>
    <t>Historias Clínicas
Hojas de Psicopedag.</t>
  </si>
  <si>
    <t>Historias Clínicas
Hojas de Evolución y Evaluación.</t>
  </si>
  <si>
    <t>Historias Clínicas
Hojas de Fisioterapia.</t>
  </si>
  <si>
    <t>Historias Clínicas
Hojas de Fonoaudiologia.</t>
  </si>
  <si>
    <t>Hojas de evaluación.</t>
  </si>
  <si>
    <t>solicitud</t>
  </si>
  <si>
    <t>solicitudes</t>
  </si>
  <si>
    <t>Registros</t>
  </si>
  <si>
    <t>Informes
Registros</t>
  </si>
  <si>
    <t>Solicitudes</t>
  </si>
  <si>
    <t>Informes
Propuestas</t>
  </si>
  <si>
    <t>Actas de Registro.</t>
  </si>
  <si>
    <t>Registros  
Informes</t>
  </si>
  <si>
    <t>Realizar la solicitud de contratacion
- 1 Psicologo 
- 1 Abogado</t>
  </si>
  <si>
    <t>Unidad de Acreditacion y Control de Centros
 Jefe de Unidad</t>
  </si>
  <si>
    <t>Elaborar material de difusion dentro del area de competencia.</t>
  </si>
  <si>
    <t>Unidad de Acreditacion y Control de Centros
Area de Control de Centros
Area de Acreditación
Area de Coordinación con Municipios</t>
  </si>
  <si>
    <t>Elaborar proyecciones de resoluciones administrativas de Acreditacionesy/o cierre de los Centros de Atencion Integral.</t>
  </si>
  <si>
    <t xml:space="preserve">40 Resoluciones de los Centros de Atención Integral realizados
</t>
  </si>
  <si>
    <t>Unidad  de Acreditacion y Control de Centros 
Consultor abogado</t>
  </si>
  <si>
    <t>Actualizar el Sistema de Registro de Centros de Atencion Integral del Departamento de la Paz</t>
  </si>
  <si>
    <t>4 Actualizaciones efectuadas del Registro Unico Departamental</t>
  </si>
  <si>
    <t>Unidad de Acreditacion y Control de Centros
Area de Control de Centros</t>
  </si>
  <si>
    <t>Organizar y ejecutar talleres de fortaleciemiento a los Centros de Atencion Integral Publicos, Privados y Mixtos de manera presencial y/o virtual</t>
  </si>
  <si>
    <t xml:space="preserve">4 talleres de capacitacion ejecutados </t>
  </si>
  <si>
    <t>Notificar a Centros de Atencion Integral</t>
  </si>
  <si>
    <t>250 Notificaciones a Centros de Atencion Integral realizados.</t>
  </si>
  <si>
    <t>Unidad de Acreditacion y Control de Centros
Area de Acreditación</t>
  </si>
  <si>
    <t xml:space="preserve">Realizar la revision y analisis de la documentacion presentada por los centros de Atencion Integral en proceso de Acreditacion  </t>
  </si>
  <si>
    <t xml:space="preserve">37 carpetas revisadas </t>
  </si>
  <si>
    <t>12  supervisiones efectuadas</t>
  </si>
  <si>
    <t xml:space="preserve">Unidad de Acreditacion y Control de Centros
 Area de Acreditación
</t>
  </si>
  <si>
    <t>2 talleres de capacitación ejecutados</t>
  </si>
  <si>
    <t>Unidad de Acreditacion y Control de Centros
Area de Coordinación con Municipios</t>
  </si>
  <si>
    <t>Realizar evaluaciones biopsicosociales al personal de Centros de Atención Integral para la Acreditación</t>
  </si>
  <si>
    <t>Unidad de Acreditacion y Control de Centros
 Area de Acreditación
Evaluaciones Laborales</t>
  </si>
  <si>
    <t xml:space="preserve">Notas de solicitud Informes </t>
  </si>
  <si>
    <t>informe Material elaborado</t>
  </si>
  <si>
    <t>Resoluciones para  acreditacion y/o cierre</t>
  </si>
  <si>
    <t>Formulario de registro , sistema de registro informe de actualización</t>
  </si>
  <si>
    <t xml:space="preserve">Propuesta
Planillas de asistencia 
Registros fotograficos 
Informes </t>
  </si>
  <si>
    <t>Notificaciones informes</t>
  </si>
  <si>
    <t>Intrumentos de supervision Acta de supervision informes reguistros fotografias</t>
  </si>
  <si>
    <t>Formularios de revisión de carpetas</t>
  </si>
  <si>
    <t>Propuesta
Registros
Informes</t>
  </si>
  <si>
    <t>Unidad de Certificación Biopsicosocial</t>
  </si>
  <si>
    <t>Realizar evaluaciones de casos remitidos por instancias jurisdiccionales y particulares para evaluación multidisciplinaria.</t>
  </si>
  <si>
    <t>Realizar evaluaciones multidisciplinarias a personas remitidas por instancias jurisdiccionales y particulares.</t>
  </si>
  <si>
    <t>2500 personas evaluadas.</t>
  </si>
  <si>
    <t xml:space="preserve">Realizar la solicitud para mantenimiento de Inmueble de oficinas de la Unidad Biopsicosocial (La Paz y El Alto).   </t>
  </si>
  <si>
    <t>1 Solicitud de mantenimiento realizado.</t>
  </si>
  <si>
    <t>Informe
No. de Cursos realizados</t>
  </si>
  <si>
    <t>Informes
 de  número de casos</t>
  </si>
  <si>
    <t>Informes
 de  número de evaluacion</t>
  </si>
  <si>
    <t>Informe de solicitud</t>
  </si>
  <si>
    <t xml:space="preserve">Realizar la solicitud  de contratación de consultores de línea. </t>
  </si>
  <si>
    <t>1 solicitud de consultores en linea realizado: 
* 1 psicologo (a), 
* 2 Trabajador (a)s Sociales</t>
  </si>
  <si>
    <t>Realizar la solicitud para adquisición de licencia Software  de los Test CUIDA, para personas solicitantes para (adopcion nacional, ,solicitantes de adopcion especial e idoneidad de Guarda).</t>
  </si>
  <si>
    <t>Realizar la solicitud de  adquisición de material de imprenta para las areas de psicologia , medicina y social.</t>
  </si>
  <si>
    <t>2  informes de la auditoría realizados</t>
  </si>
  <si>
    <t>1 Informe de auditoría operativa realizado</t>
  </si>
  <si>
    <t>1 informe de evaluación de DJBR realizado.</t>
  </si>
  <si>
    <t>2 informes de seguimiento a las auditorías realizados.</t>
  </si>
  <si>
    <t>Realizar la solicitud de contratación de un Consultor de Linea con formación en auditoria</t>
  </si>
  <si>
    <t xml:space="preserve">1 Solicitud de contratación efectuada </t>
  </si>
  <si>
    <t xml:space="preserve">Realizar la solicitud de pago de haberes al Consultor de Linea </t>
  </si>
  <si>
    <t>12 solicitudes de pago efectuadas</t>
  </si>
  <si>
    <t>Informe</t>
  </si>
  <si>
    <t xml:space="preserve">Diseñar  instrumentos normativos de competencia de la Unidad. </t>
  </si>
  <si>
    <t xml:space="preserve">Unidad de Transparencia y Lucha Contra la Corrupcion </t>
  </si>
  <si>
    <t>Recepcionar  denuncias y quejas de hechos de corrupción de servidores públicos del Servicio Departamental de Gestión Social, como de personas ajenas a la entidad.</t>
  </si>
  <si>
    <t xml:space="preserve">1  Solicitud de inicio de contratación efectuada </t>
  </si>
  <si>
    <t>Audiencias de rendicion publica de cuentas</t>
  </si>
  <si>
    <t>Solicitud
Informes</t>
  </si>
  <si>
    <t>inspeccionar</t>
  </si>
  <si>
    <t>Realizar memoriales  y  actividades judiciales de:  interdicciones, transferencias de NNA a otros centros de acogida, solicitudes de intervenciones quirugicas de la población acogida, infomacion de seguimiento de la población acogida, respuestas  a solicitudes de Juzgado y Fiscalia conforme a requerimientos u orden judicial e intervención en procesos judiciales de la institución.</t>
  </si>
  <si>
    <t xml:space="preserve">630 documentos judiciales realizados 
</t>
  </si>
  <si>
    <t xml:space="preserve">Unidad Jurídica
Abogados
</t>
  </si>
  <si>
    <t>Memoriales e informes legales</t>
  </si>
  <si>
    <t>Asistir a audiencias judiciales en: Juzgados Públicos de la Niñez y Adolescencia, Juzgados Publicos de Familia, de acuerdo a competencias del SEDEGES y a requerimiento.</t>
  </si>
  <si>
    <t xml:space="preserve">90 audiencias asistidas por típologia de caso.
</t>
  </si>
  <si>
    <t>Notificaciones y memoriales</t>
  </si>
  <si>
    <t>Elaboración de: convenios, contratos, addendas, acuerdos e informes legales en el marco de las competencias del SEDEGES</t>
  </si>
  <si>
    <t>360 documentos elaborados</t>
  </si>
  <si>
    <t xml:space="preserve">Unidad Jurídica               Jefe de Unidad
Abogados
</t>
  </si>
  <si>
    <t>Convenios, contratos, adendas, acuerdos e informes legales</t>
  </si>
  <si>
    <t>Elaborar Resoluciones Administrativas  de  autorizacion de salida  provisional de  los acogidos,  Institucionalizacion de Personas Adultas Mayores, transferencias intrainstitucionales de los acogidos, seguros de la población beneficiaria ante la CNS, Procesos de contratacion de BBySS, Acreditacion de Centros de Atencion Integral y otros  de materia administrativa.</t>
  </si>
  <si>
    <t>150 Resoluciones elaboradas.</t>
  </si>
  <si>
    <t>Resoluciones Administrativas</t>
  </si>
  <si>
    <t>Elaborar autorizaciones de ingreso  de acuerdo a requerimiento para: voluntariados, terapias ocupacionales y otros.</t>
  </si>
  <si>
    <t>72 autorizaciones elaboradas</t>
  </si>
  <si>
    <t>Cartas de autorización</t>
  </si>
  <si>
    <t>Ejecutar y procesar casos (judiciales y administrativos) en: Procesos Civiles, Penales, Administrativos, Contenciosos Administrativos, Coactivos Fiscales, Transito, Alcaldía, Aduana Nacional, Derechos Reales y otros, en el marco de las competencias del SEDEGES.</t>
  </si>
  <si>
    <t>42 informes de ejecución y procesamiento de casos realizados.</t>
  </si>
  <si>
    <t>Memoriales e informes</t>
  </si>
  <si>
    <t xml:space="preserve">Realizar la solicitud del inicio del proceso de contratación de dos Consultor en Linea como: (Abogado en tramite y procesos administrativos y Abogado en regularización de derecho propietario). </t>
  </si>
  <si>
    <t xml:space="preserve">1 Proceso de solicitud de contratación de Consultores en Linea realizado. </t>
  </si>
  <si>
    <t xml:space="preserve">Unidad Jurídica
Jefe de Unidad
</t>
  </si>
  <si>
    <t>Solicitud</t>
  </si>
  <si>
    <t>Informes consolidados</t>
  </si>
  <si>
    <t>Efectuar el seguimiento a la ejecuciòn presupuestaria .</t>
  </si>
  <si>
    <t>Reportes</t>
  </si>
  <si>
    <t>Elaborar el Plan Operativo Anual 2022  en coordinacion con las Unidades y Programas del SEDEGES</t>
  </si>
  <si>
    <t>Documento POA</t>
  </si>
  <si>
    <t xml:space="preserve">
Unidad de Planificacion 
Jefatura de Unidad
</t>
  </si>
  <si>
    <t xml:space="preserve">
Unidad de Planificacion 
Area de Gestión de Proyectos y Programas
</t>
  </si>
  <si>
    <t>Unidad de Planificacion 
Area de Desarrollo Organizacional</t>
  </si>
  <si>
    <t>documentos
aprobados</t>
  </si>
  <si>
    <t>1 documento elaborado de TDRs</t>
  </si>
  <si>
    <t>Unidad de Planificación
Area de Proyectos y Programas</t>
  </si>
  <si>
    <t>Documento TDRs</t>
  </si>
  <si>
    <t>2 Informes de seguimiento elaborados</t>
  </si>
  <si>
    <t>Realizar la supervisión  al proceso de ejecución del proceso de elaboracion del  proyecto de preinversión</t>
  </si>
  <si>
    <t>Realizar la recepción del  Estudio de Diseño Técnico de Preinversión:
* Estudio de Diseño Técnico de Preinversión "Construcción Nueva Infraestructura para Adolescentes con Responsabilidad Penal.</t>
  </si>
  <si>
    <t>1 informes de conformidad de recepción del Diseño Técnico de Preinversión elaborado</t>
  </si>
  <si>
    <t>Realizar la inventariación, actualizacion, revalorizacion, depreciacion y codificacion de Activos Fijos de la Oficina Central, Centros e Institutos, de administracion directa y delegada del SEDEGES en el SIAF.</t>
  </si>
  <si>
    <t>3 reportes del SIAF elaborados.</t>
  </si>
  <si>
    <t>Unidad Administrativa Financiera
Área de Bienes y Servicios - Activos Fijos</t>
  </si>
  <si>
    <t xml:space="preserve">Reportes </t>
  </si>
  <si>
    <t>12 reportes elaborados con informacion actualizada.</t>
  </si>
  <si>
    <t xml:space="preserve">Realizar  la disposición  de los activos en deshuso y su posterior  baja de oficina central, centros de acogida e institutos dependientes del SEDEGES, previa resolución del GADLP </t>
  </si>
  <si>
    <t>1 Informe elaborado de disposicion y baja de activos</t>
  </si>
  <si>
    <t>Informes
Resoluciones</t>
  </si>
  <si>
    <t xml:space="preserve">Realizar la solictud de aquisición de servicios de seguros, para los activos fijos (muebles e inmuebles) de Centros de Acogida, Institutos y Oficina Central dependientes del SEDEGES. </t>
  </si>
  <si>
    <t>1 Solicitud de contratacion de servicios de seguros efectuado.</t>
  </si>
  <si>
    <t>Solicitud
Informe</t>
  </si>
  <si>
    <t xml:space="preserve">1 solicitud de contratación de una consultoria por producto, realizado. </t>
  </si>
  <si>
    <t>Realizar la solicitud del inicio del proceso de contratación de mantenimiento y reparacion de maquinaria y equipos, para Centros de Acogida, Institutos y Oficina Central dependientes del SEDEGES</t>
  </si>
  <si>
    <t>1 solicitud de inicio de contratacion de consultor realizado</t>
  </si>
  <si>
    <t>Elaborar un diagnostico del estado de situación de las instalaciones de los Centros de Acogida, Institutos y Oficina Central dependientes del SEDEGES</t>
  </si>
  <si>
    <t>1 Informe de diagnostico elaborado</t>
  </si>
  <si>
    <t>Unidad Administrativa Financiera Area de Bienes y Servicios- Obras y Mantenimiento</t>
  </si>
  <si>
    <t xml:space="preserve">1 Solicitud de adquisicion de materiales eléctricos efectuado </t>
  </si>
  <si>
    <t xml:space="preserve">1 Solicitud de adquisicion de productos metalicos efectuado </t>
  </si>
  <si>
    <t xml:space="preserve">1 Solicitud de adquisicion de productos minerales no metalicos y plasticos efectuado </t>
  </si>
  <si>
    <t xml:space="preserve">1 Solicitud de adquisicion de productos agricolas pecuarios y forestales (madera y otros) efectuado </t>
  </si>
  <si>
    <t xml:space="preserve">1 Solicitud de adquisicion de herramientas menores efectuado </t>
  </si>
  <si>
    <t xml:space="preserve">1 Solicitud de adquisicion de calzados y ropa de trabajo efectuado </t>
  </si>
  <si>
    <t>Realizar la solicitud del inicio del proceso de contratación de consultores en linea (maestros albañiles I,II,III,IV para la Sección de Obras y Mantenimiento)</t>
  </si>
  <si>
    <t>4 solicitudes de inicio de proceso de contratacion realizados</t>
  </si>
  <si>
    <t>Realizar la reparación y mantenimiento preventivo y correctivo de las instalaciones de los Centros de Acogida, Institutos y Oficina Central  dependientes del SEDEGES</t>
  </si>
  <si>
    <t>12 informes  de reparación y mantenimiento de infraestructuras realiozados</t>
  </si>
  <si>
    <t>informe</t>
  </si>
  <si>
    <t>2 solicitudes de adquisicion de material de limpieza e higiene efectuada</t>
  </si>
  <si>
    <t>Unidad Administrativa Financiera                                                                     Encargado de Almacenes</t>
  </si>
  <si>
    <t>Informes/
Kardex
Cuadro distribucion
Ingreso almacen</t>
  </si>
  <si>
    <t>1 solicitudes de contratacion de servicios efectuada</t>
  </si>
  <si>
    <t>2 solicitudes de adquisicion de papel y efectuada</t>
  </si>
  <si>
    <t>1 solicitud de contratacion efectuada</t>
  </si>
  <si>
    <t>Efectuar la distribucion de alimentos secos, materiales de escritorio, papeleria, limpieza, gas, utiles de escritorio, vestuario y utiles educacionales.</t>
  </si>
  <si>
    <t>6 informes efectuados de las distribuciones.</t>
  </si>
  <si>
    <t>Informes/
Kardex
Ingreso Almacen</t>
  </si>
  <si>
    <t>3 informes realizados sobre los saldos existentes en almacenes</t>
  </si>
  <si>
    <t>Kardex</t>
  </si>
  <si>
    <t>4 Informes  efectuados de supervisiòn.</t>
  </si>
  <si>
    <t>1 solicitud de adquisicion efectuada</t>
  </si>
  <si>
    <t>2 solicitudes de adquisicion efectuados</t>
  </si>
  <si>
    <t>Unidad Administrativa Financiera
Área de Bienes y Servicios -  Transporte</t>
  </si>
  <si>
    <t>Realizar el inicio de proceso de contratacion para la adquisicion de de repuestos y accesorios para el parque automotor del SEDEGES.</t>
  </si>
  <si>
    <t>3 solicitudes de adquisicion de de repuestos y accesorios realizados.</t>
  </si>
  <si>
    <t>Realizar la solicitud de inicio de proceso de contratacion para la adquisicion de baterias detinada al Parque Automotor del SEDEGES</t>
  </si>
  <si>
    <t>1 solicitud de adquisicion  de baterias realizados.</t>
  </si>
  <si>
    <t>Realizar la solicitud de contratacion de servicios de reparacion y/o mantenimiento de los vehiculos del SEDEGES.</t>
  </si>
  <si>
    <t>2 Solicitudes de contratacion de servicios para reparacion y/o mantenimiento de vehiculos realizados.</t>
  </si>
  <si>
    <t>Realizar la solicitud del inicio del proceso de contratación de dos Consultores en Linea (Choferes para el SEDEGES)</t>
  </si>
  <si>
    <t>2 solicitudes de inicio de proceso de contratacion de consultores de Linea realizados</t>
  </si>
  <si>
    <t>Realizar la solicitud de inicio de proceso de contratacion de ropa de trabajo como (Overol, botines de punta de acero, guantes) para el personal de la Seccion de Transportes del SEDEGES</t>
  </si>
  <si>
    <t>1 proceso de contratacion de ropa de trabajo realizado</t>
  </si>
  <si>
    <t xml:space="preserve">Realizar verificación de los documentos para el inicio de procesos de contratacion bajo la modalidad ANPE y elaborar la solicitud de pago de la modalidad ANPE. </t>
  </si>
  <si>
    <t>26 Carpetas de de proceso de contratacion en la modalidad ANPE verificadas, aprobadas, certificadas en le SICOES y 26 solicitudes de pago elaboradas</t>
  </si>
  <si>
    <t>Unidad Administrativa Financiera
Área de Bienes y Servicios -  Contrataciones</t>
  </si>
  <si>
    <t>informe y Certificado</t>
  </si>
  <si>
    <t>Realizar verificación de los documentos para inicio de procesos de contratacion bajo la modalidad Compras Menores y elaborar la solicitud de pago de la modalidad compras menores.</t>
  </si>
  <si>
    <t>204 Carpetas de procesos de contratacion en la modalidad de Contratacion Menor verificadas aprobadas, certificadas en el SICOES y 204 solicitudes de pago elaboradas</t>
  </si>
  <si>
    <t>Realizar verificación de los documentos para inicio de procesos de contratacion bajo la modalidad  Contratación Directa y elaborar la solicitud de pago de la modalidad Contratación Directa.</t>
  </si>
  <si>
    <t>5 Carpetas de procesos de contratacion en la modalidad de Contratacion Directa verificadas aprobadas, certificadas en el SICOES y 5 solicitudes de pago elaboradas</t>
  </si>
  <si>
    <t xml:space="preserve">Realizar la solicitud de adquisición de servicios de Telefonia Movil (Telefonos Corporativos) para el funcionamiento del SEDEGES. </t>
  </si>
  <si>
    <t>2 solicitudes de inicio de solictud de contratacion de servicios realizado</t>
  </si>
  <si>
    <t xml:space="preserve">Realizar un Taller de Capacitación (Inscripción en el Programa Anual de Contrataciones en el SICOES - PAC), al personal del SEDEGES. </t>
  </si>
  <si>
    <t>1 Taller de capacitación realizado.</t>
  </si>
  <si>
    <t>Realizar la solicitud del inicio del proceso de contratación de un Consultor en Linea - Tecnico en Contrataciones para el Area Administrativa del SEDEGES</t>
  </si>
  <si>
    <t>Efectuar la solicitud de pagos de servicios basicos de los Centros de  Acogidas e Institutos y oficina central de SEDEGES:</t>
  </si>
  <si>
    <t>Unidad Administrativa Financiera
Responsable Bienes y Servicios</t>
  </si>
  <si>
    <t>Realizar el mantenimiento preventivo y correctivo de los equipos de computacion  en la oficina central  y Centros Acogidas  de administración directa.</t>
  </si>
  <si>
    <t>12  informes de realizados</t>
  </si>
  <si>
    <t>Unidad Administrativa Financiera
Área tecnologias de la informacion</t>
  </si>
  <si>
    <t>Realizar la solicitud de adquisicion de:
* Licencias corporativas para el SEDEGES
* Servicios de internet</t>
  </si>
  <si>
    <t>4 solicitudes efectuadas
2 Licencias coorporativas
2 Servicios de internet</t>
  </si>
  <si>
    <t>Unidad Administrativa Financiera
Área Tecnologias de la Informacion</t>
  </si>
  <si>
    <t>1 Solicitud realizada</t>
  </si>
  <si>
    <t>Efectuar el cableado estructurado de las redes de comunicación en los  10 centros del SEDEGES</t>
  </si>
  <si>
    <t>5 Cableados realizados</t>
  </si>
  <si>
    <t>Realizar la solicitud de adquisición de camaras de vigilancia, repuestos accesorios</t>
  </si>
  <si>
    <t>2 Solicitud efectuada</t>
  </si>
  <si>
    <t>Realizar la adquisicion de:
* 1 de material electrico 
* 1 de equipos de computacion 
* 1 impresoras                                                                * 1 tintas de impresora epson                                                       * 1 camaras web y microfonos de pc
* 1 Repuestos y accesorios de computacióin
Para centros y oficina central</t>
  </si>
  <si>
    <t>Realizar la solicitud de adquisicion de Equipo de Sonido</t>
  </si>
  <si>
    <t>Realizar el Plan Anual Cuotas de Caja - PACC</t>
  </si>
  <si>
    <t>Unidad Administrativa Financiera
Área de Presupuesto</t>
  </si>
  <si>
    <t>Realizar la certificacion presupuestaria para la apertura y cierre de Fondo Rotativo y/o Caja Chica.</t>
  </si>
  <si>
    <t>2 Certificaciones Presupuestarias para la apertura de Fondo Rotativo y/o Caja Chica elaborados.
2 Certificaciones Presupuestarias de cierre de Fondo Rotativo y/o Caja Chica elaborados.</t>
  </si>
  <si>
    <t>Realizar la certificación presupuestaria preventiva de inicio del proceso de adquisición y/o contratación de bienes y/o servicios.</t>
  </si>
  <si>
    <t>350 Certificaciones presupuestarias preventivas elaboradas.</t>
  </si>
  <si>
    <t>Realizar la certificacion presupuestaria para el inicio de pago por la adquisicion y/o contratacion de bienes y/o servicios, servicios básicos y otros relacionados a la actividad y funcionalidad del SEDEGES.</t>
  </si>
  <si>
    <t>350 Certificaciones presupuestarias elaboradas.
* 290 Certificaciones para el inicio de pago por la adquisicion y/o contratacion de bienes y/o servicios
* 60 Certificaciones para el pago de Servicios Básicos</t>
  </si>
  <si>
    <t>Realizar la certificacion presupuestaria para el reembolso de becas alimenticias</t>
  </si>
  <si>
    <t>72 certificaciones presupuestarias elaboradas.</t>
  </si>
  <si>
    <t>Realizar la formulación del presupuesto gestion 2022 del SEDEGES</t>
  </si>
  <si>
    <t>1 Proyecto de presupuesto gestion 2022 elaborado.</t>
  </si>
  <si>
    <t>Realizar el inicio de proceso para la contratación del Servicio de Consultoria Individual de Linea para el Área de Presupuesto.</t>
  </si>
  <si>
    <t>Realizar el registro de Gasto de: sueldos y salarios y beneficios social del personal permanente, haberes de consultores de linea, pago de refrigerio, pago de servicios basicos, de adquisiciones y/o contratciones de bienes y servicios pago de becas alimenticios, pago de viaticos, estipendios y pasajes, transportes y otros registros relacionados a la actividad.</t>
  </si>
  <si>
    <t>550 Registros elaborados en el "SIGEP"</t>
  </si>
  <si>
    <t>Unidad Administrativa Financiera                                                   Area de Contabilidad</t>
  </si>
  <si>
    <t>C-31 SIGEP</t>
  </si>
  <si>
    <t>Realizar el registro de apertura y cierre de fondo rotativo y caja chica</t>
  </si>
  <si>
    <t>2 registros de apertura de fondos rotativo y caja chica elaborados                                                                                2 registros de cierre de fondos rotativo y caja chica elaborados</t>
  </si>
  <si>
    <t>Unidad Administrativa Financiera                                                 Area de Contabilidad</t>
  </si>
  <si>
    <t>Realizar Arqueos a las cajas recaucadoras, caja central la paz, caja reacaudaora IDAI, caja recaudadora IEB, caja recaudadora IRI, caja regional El Alto.</t>
  </si>
  <si>
    <t>6 Arqueos realizados.</t>
  </si>
  <si>
    <t>Unidad Administrativa Financiera                                                  Area de Contabilidad</t>
  </si>
  <si>
    <t>planilla de arqueo</t>
  </si>
  <si>
    <t>Realizar Arqueos del fondo rotativo y caja chica</t>
  </si>
  <si>
    <t>2 arqueos fondo rotativo realizados                                                      2 arqueos de caja chica realizado</t>
  </si>
  <si>
    <t xml:space="preserve">  Unidad Administrativa Financiera                                                  Area de Contabilidad</t>
  </si>
  <si>
    <t>Realizar el inicio de proceso de contratcion de consultoria de linea - Auxiliar de contabilidad</t>
  </si>
  <si>
    <t>1 Proceso de Contratacion efectuado</t>
  </si>
  <si>
    <t>Unidad Administrativa Financiera                   Area de Contabilidad</t>
  </si>
  <si>
    <t>Certificacion Presupuestaria</t>
  </si>
  <si>
    <t>2 solicitudes de adqiusicion de Papeletas Valoradas realizadas</t>
  </si>
  <si>
    <t>Unidad Administrativa Financiera 
Área de Tesorería</t>
  </si>
  <si>
    <t>Papeletas Valoradas Impresas Informe</t>
  </si>
  <si>
    <t xml:space="preserve">Realizar el seguimiento de los registros C-21 elaborados por la Uinidad de tesoreria del GDLP de las cajas recaudadoras de Caja Central  SEDEGES Caja recaudadora IDAI Caja recaudadora I.E.B. Caja recaudadora I RI caja recaudadora Regional El Alto </t>
  </si>
  <si>
    <t xml:space="preserve">672 seguimientos de  registros C-21, elaborados                                                                             </t>
  </si>
  <si>
    <t>Informe Reporte SIGEP</t>
  </si>
  <si>
    <t>Realizar el reporte mensual de los ingresos registrados en las cajas recaudadoras del SEDEGES de: Caja Central SEDEGES, Caja Recaudadora IDAI, Caja Recaudadora I.E.B., Caja Recaudadora IRI, Caja Recaudadora Regional El Alto.</t>
  </si>
  <si>
    <t>11 Cociliacines elaboradas</t>
  </si>
  <si>
    <t>Realizar  el reportes de la venta de timbres a Ventanillla Unica del GDLP</t>
  </si>
  <si>
    <t>Realizar las solicitudes de la apertura y cierre de Fondo Rotativo y/o Caja Chica</t>
  </si>
  <si>
    <t>4 Procesos de fondo rotatorio elaborados
2 de apertura de Fondo Rotativo y/o Caja Chica
2 de cierre de Fondo Rotativo y/o Caja Chica</t>
  </si>
  <si>
    <t>Realizar la solicitud de inicio de Proceso de Contrataciòn de Consultorìa de Lìnea - Auxiliar de Tesoreria</t>
  </si>
  <si>
    <t>1 Proceso de Contrataciòn realizado</t>
  </si>
  <si>
    <t>Certificaciòn Presupuestaria</t>
  </si>
  <si>
    <t>Realizar la sistematización de la informacion recopilada a traves de monitoreos (medios escritos, tv, radios y otros)</t>
  </si>
  <si>
    <t>250 Monitoreos  de actividades del acontecer noticioso realizados</t>
  </si>
  <si>
    <t xml:space="preserve">Unidad de  Comunicaciòn  y Relaciones Públicas
</t>
  </si>
  <si>
    <t>Documento Reporte Diario</t>
  </si>
  <si>
    <t>Elaborar un plan de medios para la difusión de actividades en medios de comunicación.</t>
  </si>
  <si>
    <t>Informe  con Registro Fotografico</t>
  </si>
  <si>
    <t>Difundir casos de extravio de personas desaparecidas en facturas de pago de energia electrica.</t>
  </si>
  <si>
    <t>48 Difusiones realizadas</t>
  </si>
  <si>
    <t>Solicitudes de difusión</t>
  </si>
  <si>
    <t>Elaborar notas de prensa  de las actividades más relevantes realizadas por el SEDEGES.</t>
  </si>
  <si>
    <t xml:space="preserve">135 Notas de prensa realizados </t>
  </si>
  <si>
    <t>Publicaciones</t>
  </si>
  <si>
    <t>Elaborar memoria anual del SEDEGES.</t>
  </si>
  <si>
    <t xml:space="preserve">1 memoria anual elaborada                </t>
  </si>
  <si>
    <t>Elaborar y difundir a través de medios de comunicación y  redes sociales (spots, cuñas radiales y otros productos informativos) las actividades y los servicios que brinda el SEDEGES a nivel departamental.</t>
  </si>
  <si>
    <t xml:space="preserve">4 informes de difusiones realizadas </t>
  </si>
  <si>
    <t>Produccion
Informes</t>
  </si>
  <si>
    <t>Realizar la solicitud de impresión de material informativo de difusion (tripticos, biptico, stiker afiches, banner's, roller's, cartillas y otros) de servicios que brinda el SEDEGES a nivel departamental.</t>
  </si>
  <si>
    <t>2  solicitudes de impresión realizadas.</t>
  </si>
  <si>
    <t>Solicitud de proceso</t>
  </si>
  <si>
    <t>Realizar la solicitud de reparación y/o mantenimiento de equipos de comunicación.</t>
  </si>
  <si>
    <t>2 solicitudes realizadas</t>
  </si>
  <si>
    <t>Solicitud de contratacion</t>
  </si>
  <si>
    <t xml:space="preserve">Realizar la solicitud de adquisición de productos de artes graficas (folders, planificadores) </t>
  </si>
  <si>
    <t>solicitud de proceso</t>
  </si>
  <si>
    <t>Realizar la solicitud de adquisición de equipos de comunicación para eventos desarrollados por Centros de Acogida, Institutos y Oficina Central dependiente del SEDEGES.</t>
  </si>
  <si>
    <t>10 supervisiones realizados a Centros e Institutos de Administración directa del SEDEGES.</t>
  </si>
  <si>
    <t>1 documento elaborado</t>
  </si>
  <si>
    <t xml:space="preserve">Elaborar  el codigo de Etica del Servicio Departamental de Gestion Social </t>
  </si>
  <si>
    <t>documento</t>
  </si>
  <si>
    <t>formularios</t>
  </si>
  <si>
    <t xml:space="preserve">Organizar y ejecutar  Audiencias de Rendición Publica de Cuentas </t>
  </si>
  <si>
    <t>50 denuncias recepcionadas</t>
  </si>
  <si>
    <t>Informes
Formularios</t>
  </si>
  <si>
    <t xml:space="preserve">Realizar inicio de proceso de contratacion de una linea telefonica gratuita para la recepcion de denuncias </t>
  </si>
  <si>
    <t>Realizar talleres de capacitacitación dirigida a los Centros e Institutos y personlal administrativo de SEDEGES .</t>
  </si>
  <si>
    <t xml:space="preserve">informes
fotografias
</t>
  </si>
  <si>
    <t>13 supervisiones realizadas</t>
  </si>
  <si>
    <t>Realizar supervisiones a  los centros, de acogida, transitorios, de reintegración e institutos de administracion directa  del SEDEGES.</t>
  </si>
  <si>
    <t xml:space="preserve">Actualizar la base de datos de la documentación existente y nueva generada por las dependencias del SEDEGES. </t>
  </si>
  <si>
    <t>2 informes de actualizacion realizadas</t>
  </si>
  <si>
    <t>Unidad Administrativa Financiera
Archivo</t>
  </si>
  <si>
    <t xml:space="preserve">Realizar una solicitud de ambientes para la Sección de Archivos. </t>
  </si>
  <si>
    <t>2 solicitudes efectuadas</t>
  </si>
  <si>
    <t xml:space="preserve">Realizar la solicitud de contratación para el servicio de encuadernación. </t>
  </si>
  <si>
    <t xml:space="preserve">2 Solicitudes de contracion efectuadas </t>
  </si>
  <si>
    <t xml:space="preserve">19 solicitudes de adquisición efectuadas:
* 3 Insumos y material de curación
* 6 solicitud de medicamentos
* 2 insumos odontologicos
* 2 insumos de laboratorio
* 1 insumos de radiologia                                            
* 1 materiales de ortesis 
* 1 equipo medico                                                         
* 1 solicitud de compra de instrumental medico menor           
* 1 solicitud de prendas de bioseguridad                              
* 1 solicitud de manuales de psicologia </t>
  </si>
  <si>
    <t xml:space="preserve">
336   toma de placas a beneficiarios  realizadas:
* 240 a beneficiarios externos.
* 96 a poblacion acogida
</t>
  </si>
  <si>
    <t xml:space="preserve">Unidad de Auditoria Interna
Jefe U.A.I.                         </t>
  </si>
  <si>
    <t>Gestionar la suscripción de convenios con municipios e instituciones del departamento de La Paz.</t>
  </si>
  <si>
    <t>6 informes de gestiones con Gobiernos Municipales e instituciones efectuados.</t>
  </si>
  <si>
    <t xml:space="preserve">
Informes</t>
  </si>
  <si>
    <t>Elaborar convenios con los Gobiernos Municipales e instituciones del Departamento de La Paz.</t>
  </si>
  <si>
    <t>3 informes de elaboración de convenios realizados.</t>
  </si>
  <si>
    <t xml:space="preserve">Programa de Desarrollo Integral de la Primera Infancia
Consultor Asesor Legal
</t>
  </si>
  <si>
    <t xml:space="preserve">Programa de Desarrollo Integral de la Primera Infancia
Coordinador </t>
  </si>
  <si>
    <t xml:space="preserve">Carpetas de procesos de contrataciones
Informes </t>
  </si>
  <si>
    <t xml:space="preserve">Realizar solicitudes de:
* Pago de haberes a consultores de linea del Programa 
* Pago de refrigerios a consultores de linea del Programa 
* Pago de viaticos a consultores de linea del Programa </t>
  </si>
  <si>
    <t xml:space="preserve">
11  Pagos de haberes a consultores  de línea realizados,
11 Pagos  de refrigerios a consultores de línea realizados. 
46 Pagos de viaticos a consultores de linea realizados,</t>
  </si>
  <si>
    <t>Programa de Desarrollo Integral de la Primera Infancia
Consultor Asesor Legal. Profesional en Educacion</t>
  </si>
  <si>
    <t xml:space="preserve">Carpetas de procesos de pago. 
Informes </t>
  </si>
  <si>
    <t>Realizar la solicitud de inicio de proceso para la contratacion de servicios:
* Pago de consumo de linea teléfonica.
* Impresion de formularios de seguimiento - monitoreo, material de apoyo.
* Artes Gráficas.
* Gastos por alimentacion.</t>
  </si>
  <si>
    <t xml:space="preserve">                           
12 Pagos de teléfono efectuados.       
2 Procesos de contratación de servicios de diagramación e impresión de formularios de seguimiento - monitoreo y maerial de apoyo efectuados.                                
2 Procesos de adquision de productos de artes graficas efectuados.
1 Proceso de gastos por alimentación y otros similares efectuados. </t>
  </si>
  <si>
    <t>Programa de Desarrollo Integral de la Primera Infancia
Consultor Supervisor. Consultor en Seguimiento y Monitoreo. Profesional en Educacion. Profesional en Nutricion y Salud.</t>
  </si>
  <si>
    <t>Carpetas de procesos de pago y adquisiciones. Informes.</t>
  </si>
  <si>
    <t>Realizar la solicitud de inicio de proceso de adquisicion de combustible.</t>
  </si>
  <si>
    <t xml:space="preserve">                                       
1 Proceso de adquisición efectuado.             
</t>
  </si>
  <si>
    <t>Programa de Desarrollo Integral de la Primera Infancia
Consultor Supervisor y Activos Fijos.</t>
  </si>
  <si>
    <t>Carpeta de proceso de adquisicion. Informe.</t>
  </si>
  <si>
    <t>Realizar la solicitud de  inicio de proceso  de adquisicion de  equipamiento para los Centros Infantiles en convenio:
* Menaje de Cocina                                                         *Basculas</t>
  </si>
  <si>
    <t xml:space="preserve">
2 Solicitudes de adquisicion efectuados.</t>
  </si>
  <si>
    <t>Programa de Desarrollo Integral de la Primera Infancia
Consultor en Salud y Nutricion.</t>
  </si>
  <si>
    <t>Realizar la solicitud de  inicio de proceso de adquisicion de insumos:
* Vìveres secos.</t>
  </si>
  <si>
    <t>2  Solicitudes de adquisicion de alimentos realizadas.</t>
  </si>
  <si>
    <t>Programa de Desarrollo Integral de la Primera Infancia
 Consultor en Nutrición y Salud,</t>
  </si>
  <si>
    <t>Solicitudes de adquisiciones. Informes</t>
  </si>
  <si>
    <t xml:space="preserve">Realizar la solicitud de  inicio de proceso de adquisicion de insumos:
* Productos Farmaceúticos.
* Prendas de vestir
* Utiles educacionales.
* Material recreativo.
* Utiles de escritorio.                                        
* Papel
* Material de limpieza.                                                                                     
* Llantas.                                                                         
</t>
  </si>
  <si>
    <t>Programa de Desarrollo Integral de la Primera Infancia
 Consultor en Nutrición y Salud, Profesional en Educacion, Consultor en Seguimiento y Monitoreo</t>
  </si>
  <si>
    <t xml:space="preserve">
Solicitudes de adquisiciones. Informes                                                                                                                                                                                 </t>
  </si>
  <si>
    <t>30 capacitaciones realizadas.</t>
  </si>
  <si>
    <t xml:space="preserve">Programa de Desarrollo Integral de la Primera Infancia
Consultor en Nutrición y Salud
Consultor en Educación
Consultor Supervisor
Consultor Asesor Legal
Consultor en Seguimiento y Monitoreo
Coordinadora </t>
  </si>
  <si>
    <t xml:space="preserve">Informes 
Registro de participantes </t>
  </si>
  <si>
    <t>Realizar supervisiones a centros infantiles en convenio (entre las que se encuentran supervisiones de factibilidad, supervisiones integrales, supervisiones planificadas, sorpresivas y a requerimiento o de seguimiento).</t>
  </si>
  <si>
    <t>200 Supervisiones efectuadas.</t>
  </si>
  <si>
    <t xml:space="preserve">Informes de supervision </t>
  </si>
  <si>
    <t>6  Evaluaciones realizadas:
3  Evaluaciones nutricionales
3  Evaluaciones de desarrollo</t>
  </si>
  <si>
    <t>Programa de Desarrollo Integral de la Primera Infancia
Coordinadora
Consultor en Nutrición y Salud
Consultor en Seguimiento y Monitoreo
Consultor en Educación</t>
  </si>
  <si>
    <t xml:space="preserve">Evaluaciones e informes </t>
  </si>
  <si>
    <t>Actualizar la base de datos del sistema de seguimiento y monitoreo generando reportes  a requermiento del Programa</t>
  </si>
  <si>
    <t>Reportes impresos y digitales.
Informes</t>
  </si>
  <si>
    <t>Realizar una actividad de socialización de logros obtenidos en la gestion.</t>
  </si>
  <si>
    <t xml:space="preserve">1 Actividad de socializacion realizada </t>
  </si>
  <si>
    <t xml:space="preserve">Programa de Desarrollo  Integral de la Primera Infancia
Equipo Técnico         </t>
  </si>
  <si>
    <t>Informe documentado</t>
  </si>
  <si>
    <t>Evaluar el cumplimiento de convenios .</t>
  </si>
  <si>
    <t xml:space="preserve">2 Evaluaciones de convenio realizadas.                                                   
</t>
  </si>
  <si>
    <t>Programa de Desarrollo  Integral de la Primera Infancia
Cordinador
Consultor Asesor Legal 
Consultor Supervisor. Consultor en Seguimiento y Monitoreo, Consultor en Nutricion y Salud, Consultor en Educacion.</t>
  </si>
  <si>
    <t>Actas de evaluación
Informes</t>
  </si>
  <si>
    <r>
      <t>Realizar talleres de capacitación y sensibilizacion dirigidos  a:
* Personal y padres de familia de los centros infantiles de municipios e</t>
    </r>
    <r>
      <rPr>
        <sz val="10"/>
        <color indexed="10"/>
        <rFont val="Arial"/>
        <family val="2"/>
      </rPr>
      <t xml:space="preserve"> </t>
    </r>
    <r>
      <rPr>
        <sz val="10"/>
        <rFont val="Arial"/>
        <family val="2"/>
      </rPr>
      <t>instituciones en convenio.</t>
    </r>
  </si>
  <si>
    <t xml:space="preserve">Realizar la solicitud del inicio de contratacion del Servicio de Consultores Individuales de Linea </t>
  </si>
  <si>
    <t xml:space="preserve">Solicitudes de Contratacion e Informes </t>
  </si>
  <si>
    <t>Realizar la solicitud de inicio de proceso:
*Pago de haberes de los Consultores de linea
*Pago de refrigerio de los consultores de linea</t>
  </si>
  <si>
    <t xml:space="preserve">Solicitudes e Informes </t>
  </si>
  <si>
    <t xml:space="preserve">     Solicitud de proceso</t>
  </si>
  <si>
    <t xml:space="preserve">Solicitud de proceso </t>
  </si>
  <si>
    <t>Solicitud de adquisicion de maquina fotocopiadora fotocopiadora de oficina para el programa</t>
  </si>
  <si>
    <t xml:space="preserve">Realizar procesos de evaluacion y diagnostico psicologico </t>
  </si>
  <si>
    <t>Registro</t>
  </si>
  <si>
    <t>Organizar y ejecutar talleres de capacitación para adolescentes y padres de familia</t>
  </si>
  <si>
    <t>Realizar informes integrales del Plan de Ejecucion de Medida PIEM (Inicial, trimestral y final) Informes psicologicos y sociales (inicial y final) y otros a requerimiento.</t>
  </si>
  <si>
    <t xml:space="preserve">Informes psicologicos, Informes Sociales y Planes integrales </t>
  </si>
  <si>
    <t>Ejecutar el Plan Individual de Ejecución de Medidas (PIEM) a traves de intervenciones psicologicas individuales, familiares y grupales</t>
  </si>
  <si>
    <t xml:space="preserve">Informes de intervencion  </t>
  </si>
  <si>
    <t xml:space="preserve">Fichas Seguimientos Sociales
</t>
  </si>
  <si>
    <t>Realizar investigacion y estudio social del caso en relacion a la problemática.</t>
  </si>
  <si>
    <t>Ejecutar intervenciones sociales de acuerdo al Plan Individual de Ejecución de Medidas para lograr la reintegraciión social.</t>
  </si>
  <si>
    <t xml:space="preserve">
Fichas Sociales,coordinacion
Fichas de visitas Domiciliarias
referencia Sociales </t>
  </si>
  <si>
    <t>Aplicar Mecanismos de Justicia Restaurativa(Reunioes Restairativas,circulos restaurativos,mediacion,</t>
  </si>
  <si>
    <t xml:space="preserve">
informes 
Lista de Asistencia 
fotos
</t>
  </si>
  <si>
    <t>Programa Centro de  Orientación para Adolescentes con Responsabilidad Penal.</t>
  </si>
  <si>
    <t xml:space="preserve">Programa Centro de  Orientación para Adolescentes con Responsabilidad Penal.
Coordinadora </t>
  </si>
  <si>
    <t xml:space="preserve">Programa Centro de  Orientación para Adolescentes con Responsabilidad Penal.
 Facilitadora </t>
  </si>
  <si>
    <t>Realizar solicitud : 3 gastos de transporte y 3 gastos de  viaticos para el personal, para realizar seguimiento y monitoreo de las medidas de regimen domiciliario y servicio a la comunidad.</t>
  </si>
  <si>
    <t xml:space="preserve">Registrar los ingresos de adolescentes  nuevos en el Programa </t>
  </si>
  <si>
    <t>4 talleres de capacitacion efectuados.</t>
  </si>
  <si>
    <t>Realizar el seguimiento de los planes individuales de ejecución de medidas,las medidas Socioeducativas, salidas alternativas y de Remision de los adolescentes beneficiarios del programa.</t>
  </si>
  <si>
    <t xml:space="preserve"> Programa Centro de  Orientación para Adolescentes con Responsabilidad Penal.
Area de Psicologia</t>
  </si>
  <si>
    <t xml:space="preserve">Programa Centro de  Orientación para Adolescentes con Responsabilidad Penal.
Area de Trabajo Social </t>
  </si>
  <si>
    <t>Programa Centro de  Orientación para Adolescentes con Responsabilidad Penal.
Area de Trabajo Social .</t>
  </si>
  <si>
    <t xml:space="preserve">3 Consultores Contratados 
1 Coordinador/a 
1 Psicologa/o
1 Trabajadora Social </t>
  </si>
  <si>
    <t xml:space="preserve">Realizar la solicitud de inicio de proceso:
*Pago de haberes de los Consultores de linea
*Pago de refrigerio de los consultores de linea
</t>
  </si>
  <si>
    <t xml:space="preserve">22 solicitudes realizadas
</t>
  </si>
  <si>
    <t xml:space="preserve">22 evaluaciones realizadas </t>
  </si>
  <si>
    <t xml:space="preserve">anexo de Protocolos </t>
  </si>
  <si>
    <t xml:space="preserve">Brindar orientacion y seguimiento psicologicos  a los adolescentes y padres de familia </t>
  </si>
  <si>
    <t xml:space="preserve">44 Orientaciones Psicologicos realizadas  
44 Seguimientos psicologicos realizadas </t>
  </si>
  <si>
    <t xml:space="preserve">Fichas de Seguimiento 
</t>
  </si>
  <si>
    <t xml:space="preserve">55 terapias individuales realizadas
33 terapias familiares realizadas </t>
  </si>
  <si>
    <t xml:space="preserve">Ficha de Plan y seguimiento de intervencion clinica e individual </t>
  </si>
  <si>
    <t xml:space="preserve">220 Intervenciones Sociales efectuadas  </t>
  </si>
  <si>
    <t xml:space="preserve">Seguimientos Sociales
Fichas de coordinacion
Fichas de visitas Domiciliarias
referencia Sociales </t>
  </si>
  <si>
    <t xml:space="preserve">Elaborar planes integrales de intervencion  del adolescente,  Informes Sociales y Psicologicos </t>
  </si>
  <si>
    <t xml:space="preserve">33 Informes elaborados:
</t>
  </si>
  <si>
    <t xml:space="preserve">Realizar capacitaciones, orientaciones, sensibilizacion y difusion a la sociedad sobre factores de riesgo que influyen en la adolescencia </t>
  </si>
  <si>
    <t xml:space="preserve">Realizar talleres de capacitacion a  los padres de famiia en la crianza de los hijos </t>
  </si>
  <si>
    <t>Programa de Proteccion para Adolescentes Exentos de Responsabilidad Penal</t>
  </si>
  <si>
    <t>Programa de Proteccion para Adolescentes Exentos de Responsabilidad Penal
 - Coordinadora</t>
  </si>
  <si>
    <t>Programa de Proteccion para Adolescentes Exentos de Responsabilidad Penal- Psicologia</t>
  </si>
  <si>
    <t>Programa de Proteccion para Adolescentes Exentos de Responsabilidad Penal - Trabajadora Social</t>
  </si>
  <si>
    <t>20 adolescentes exentos de responsabilidad penal  recibieron atencion</t>
  </si>
  <si>
    <t>Programa Centro Especializado Prevencionn y Atencion Terapeutica CEPAT</t>
  </si>
  <si>
    <t>Programa Centro Especializado de Prevención y Atención Terapeutuica a Víctimas de Violencia Sexual.</t>
  </si>
  <si>
    <t>Informes
Registro de casos</t>
  </si>
  <si>
    <t>Guia
Registro de Participantes
Informes</t>
  </si>
  <si>
    <t>Realizar la solicitud del inicio del proceso de contratación del servicio de Consultorias individuales  de Linea.</t>
  </si>
  <si>
    <t>Programa Centro Especializado de Prevención y Atención Terapeutica a Víctimas de Violencia Sexual.</t>
  </si>
  <si>
    <t>Realizar la solicitud de inicio de procesos de contratación y/o adquisicion de:
* Servicios de imprenta.
* Productos  de artes graficas</t>
  </si>
  <si>
    <t>Realizar la solicitud de :
* Pago de haberes de los consultores de linea del programa 
* Pago de refrigerios de consultores de linea del programa 
* Pago de viaticos  a consultores de linea del programa.</t>
  </si>
  <si>
    <t>Realizar la solicitud de inicio de procesos de:
* Adquisicion de papel, y  material de escritorio y oficina.
* Adquisición de material de limpieza
* Adquisición de útiles educacionales culturales y de capacitación.
*Utencilios de cocina y plasticos
* Adquisicion de utiles y materiales electricos 
* Adquisicon de confecciones textiles</t>
  </si>
  <si>
    <t>Programa Modalidades Alternativas a la Institucionalizacion de Ninas, Ninos y Adolescentes.</t>
  </si>
  <si>
    <t>Programa de Atencion a Adultos Mayores en el Centro Transitorio Interprovincial La Paz</t>
  </si>
  <si>
    <t xml:space="preserve">Realizar el inicio de solicitud de  contratación de consultores de linea para el Programa </t>
  </si>
  <si>
    <t>3 Solicitudes de contratación efectuadas
1 Trabajador social
1 fisioterapeuta
1 Terapeuta ocupacional</t>
  </si>
  <si>
    <t xml:space="preserve">10 solicitudes efectuadas de pago refrigerios.
10 solicitudes efectuadas de pago de haberes
</t>
  </si>
  <si>
    <t>Realizar la solicitud de inicio de proceso de adquisicion de:
* Material de escritorio, oficina y papel
* Material pedagogico y recreativo
* Material de limpieza</t>
  </si>
  <si>
    <t>Solicitud de adquisicion</t>
  </si>
  <si>
    <t>Realizar la atencion en Fisioterapia a la poblacion adulto mayor que asiste al Centro Transitorio Interprovincial La Paz</t>
  </si>
  <si>
    <t>500 sesiones de fisioterapia realizadas  a la poblacion adulto mayor que asiste al centro</t>
  </si>
  <si>
    <t>Fotocopia del C. I. del usuario
Registro de atencion</t>
  </si>
  <si>
    <t>Realizar campañas  de atencion en salud a la pobalcion adulto mayor</t>
  </si>
  <si>
    <t>2 campañas de salud  realizadas</t>
  </si>
  <si>
    <t>Informe de la activiadad
Memoria fotografica</t>
  </si>
  <si>
    <t>informes        ficha de coordinacion memoria fotografica</t>
  </si>
  <si>
    <t>25 acogimientos transitorios atendidos a la poblacion adulto mayor</t>
  </si>
  <si>
    <t>Fotocopia del C. I. del usuario
Registro de atencion
Ficha Social</t>
  </si>
  <si>
    <t>4 informes realizados</t>
  </si>
  <si>
    <t>Informe de los viajes
Memoria fotografica</t>
  </si>
  <si>
    <t>Realizar talleres o capacitaciones respecto a las problematicas en torno a la persona adulto mayor</t>
  </si>
  <si>
    <t>10 talleres efectuados</t>
  </si>
  <si>
    <t>Cronogramas elaborados
Informes
Memoria fotografica</t>
  </si>
  <si>
    <t>Realizar Terapia Ocupacionales individuales a la poblacion Adulto Mayor</t>
  </si>
  <si>
    <t>fichas de diagnostico terapia
Informes
Memoria fotografica</t>
  </si>
  <si>
    <t>200 sesiones terapeuticas ocupacionales</t>
  </si>
  <si>
    <t>Realizar el proceso de solicitud de:
* Pago refrigerios a consultores en linea del Programa.
*  Pago de haberes a consultores en linea del Programa.</t>
  </si>
  <si>
    <t xml:space="preserve">1 solicitud efectuada de equipo de computacion
1 solicitud efectuada de equipo de comunicación (data show)
</t>
  </si>
  <si>
    <t>Realizar el inicio de proceso de solicitud de adquisición de:
* Equipo de computacion
* Equipo de comunicación (data show)</t>
  </si>
  <si>
    <t>Realizar videos educativos de fisiterapia publicado en redes sociales</t>
  </si>
  <si>
    <t>50 Terapias Ocupacionales individuales a la poblacion Adulto Mayor</t>
  </si>
  <si>
    <t>Realizar sesiones teraputicas ocupacionales grupales a la poblacion adulto mayor</t>
  </si>
  <si>
    <t>Lic. Eugenio Vasquez</t>
  </si>
  <si>
    <t>SECRETARIO DEPARTAMENTAL DE DESARROLLO SOCIAL Y COMUNITARIO a.i.</t>
  </si>
  <si>
    <t>Realizar la solicitud para la  contratacion de Consultores Individuales de Linea.</t>
  </si>
  <si>
    <t>11 solicitudes de pago de honorarios realizados
11 solicitudes de pago refrigerios realizados. 
10 solicitudes de pago viaticos
10 solicitudes de pago de transporte realizados</t>
  </si>
  <si>
    <t xml:space="preserve">Realizar el pago del servicio de gas domiciliario </t>
  </si>
  <si>
    <t xml:space="preserve">Realizar el inicio de proceso de solicitud de Contratacion de:                                                                                           
* Servicio de materiales  minerales no metalicos                                                     </t>
  </si>
  <si>
    <t>1 Solicitudes de  inicio de proceso realizados</t>
  </si>
  <si>
    <t>1 Solicitudes de  inicio de proceso realizados.</t>
  </si>
  <si>
    <t xml:space="preserve">Realizar el inicio de proceso de solicitud adquisicion de:                                                                                                                                                                                                                             * Utiles de Escritorio y Oficina                                                                                     *  Utiles Educacionales, Culturales y de Capacitacion                                                                                               </t>
  </si>
  <si>
    <t>2 Solicitudes de  inicio de proceso realizados.</t>
  </si>
  <si>
    <t xml:space="preserve">Realizar la solicitud de inicio de proceso para la elaboración de material de prevención y difusión en aplicación de la Ley 348:                                                                                                                       * Servicios de Imprenta y Fotocopiado                                              * Productos de Artes Graficas                                                                                              </t>
  </si>
  <si>
    <t xml:space="preserve">Realizar la solicitud de  inicio de proceso para la adquisición de :                                                                                                                                            
* Hilados y Telas                                                            </t>
  </si>
  <si>
    <t>1 solicitud de inicio de proceso efectuado.</t>
  </si>
  <si>
    <t xml:space="preserve">Realizar la solicitud de  inicio de proceso para la adquisición de :                                                                                                                                            
* Prendas de Vestir y Calzados                                                                                                                    
* Confeciones Textiles                                                                </t>
  </si>
  <si>
    <t xml:space="preserve">Realizar la solicitud de  inicio de proceso para la adquisición de:                                                                                                                                                                              * Productos Quimicos y Farmaceuticos e Insumos Medicos                                                                                      * Instrumental Menor Medico Quirurgico                                                                                                                                                                             </t>
  </si>
  <si>
    <t xml:space="preserve">Realizar la solicitud de  inicio de proceso para la adquisición de:                                                                                                                                                                                                                                                                  * Material de Limpieza e Higiene                            
* Utencilios de Cocina  y Comedor                                             </t>
  </si>
  <si>
    <t xml:space="preserve">Realizar la solicitud de inicio de proceso de contratacion de :                                                                                       * Material deportivo y  recreativo </t>
  </si>
  <si>
    <t>22 talleres ejecutados</t>
  </si>
  <si>
    <t>Realizar evaluación de ingreso y egreso a las beneficiarias.</t>
  </si>
  <si>
    <t>240  evaluaciones efectudas</t>
  </si>
  <si>
    <t xml:space="preserve">informe </t>
  </si>
  <si>
    <t>Realizar el acompañamiento y seguimientos de casos de la población beneficiaria.</t>
  </si>
  <si>
    <t>fichas de seguimiento</t>
  </si>
  <si>
    <t>Realizar evaluacion, informe y seguimiento a los dependientes de las beneficiarias durante el acogimiento</t>
  </si>
  <si>
    <t xml:space="preserve">ficha de evaluacion tets proyectivo y psicometrico </t>
  </si>
  <si>
    <t>Desarrollar talleres de prevención difusión y sensibilizacion  contra la violencia a las mujeres.</t>
  </si>
  <si>
    <t>80  talleres realizados</t>
  </si>
  <si>
    <t>Realizar Feria  con el Programa: Defensa y Proteccion de la Mujer por el dia Internacional de la No Violencia a la Mujer</t>
  </si>
  <si>
    <t xml:space="preserve">
170   mujeres recibieron atención  integral y capacitación técnica, a traves del Programa Defensa y Proteccion de la Mujer IDH 2145.
</t>
  </si>
  <si>
    <t xml:space="preserve">Realizar el inicio de proceso de solicitud de Contratacion de:                                                                                           
* Servicio de Catering                                                              </t>
  </si>
  <si>
    <t>3.2.3.1.1</t>
  </si>
  <si>
    <t>3.2.3.1.2</t>
  </si>
  <si>
    <t>3.2.3.1.3</t>
  </si>
  <si>
    <t>3.2.3.1.4</t>
  </si>
  <si>
    <t>3.2.3.1.5</t>
  </si>
  <si>
    <t>3.2.3.1.6</t>
  </si>
  <si>
    <t>3.2.3.1.7</t>
  </si>
  <si>
    <t>3.2.3.1.8</t>
  </si>
  <si>
    <t>3.2.3.1.9</t>
  </si>
  <si>
    <t>3.2.3.1.10</t>
  </si>
  <si>
    <t>3.2.3.1.11</t>
  </si>
  <si>
    <t>3.2.3.1.12</t>
  </si>
  <si>
    <t>3.2.3.1.13</t>
  </si>
  <si>
    <t>3.2.3.1.14</t>
  </si>
  <si>
    <t>3.2.3.1.15</t>
  </si>
  <si>
    <t>3.2.3.1.16</t>
  </si>
  <si>
    <t>3.2.3.1.17</t>
  </si>
  <si>
    <t>3.2.3.1.18</t>
  </si>
  <si>
    <t xml:space="preserve"> Programa Defensa y Protección de la Mujer
</t>
  </si>
  <si>
    <t>Programa Defensa y Protección de la Mujer</t>
  </si>
  <si>
    <t>Realizar la solicitud de :
* Pago de honorarios de los consultores de linea 
* Pago de refrigerios de consultores de linea 
* Pago de viaticos  a consultores de linea del programa.
* Pago de transporte</t>
  </si>
  <si>
    <t>Realizar talleres de fortalecimiento  y de restitucion de derechos de las mujeres y el empoderamiento economico con la población acogida .</t>
  </si>
  <si>
    <t>Programa Centro Especial para Mujeres Victimas del Delito de Trata y Trafico de Personas</t>
  </si>
  <si>
    <t xml:space="preserve">6 Solicitudes de Contratacion de Consultores Individuales de Linea realizados:                                                                                                                              1 Coordinadora del Programa                                                1Trabajadora Social                                        
1 Psicologo (a)
1 Terapeuta ocupacional
2 Educadoras.      </t>
  </si>
  <si>
    <t>11 Solicitudes efectuadas de pago refrigerios.
11 Solicitudes efectuadas de pago de haberes.</t>
  </si>
  <si>
    <t>2 Solicitudes efectuadas.</t>
  </si>
  <si>
    <t>Realizar la intervencion y seguimiento del área de Trabajo Social en beneficio de la población acogida.
- Seguimiento a las acciones de área.(Coordinación, getión,etc.)
- Informes sociales.</t>
  </si>
  <si>
    <t xml:space="preserve">Fichas de Seguimiento
Informes Sociales </t>
  </si>
  <si>
    <t>Realizar la intervención y seguimiento área de Psicología en beneficio de la población acogida:
- Intervención Terapeutica: Individual, Grupal y/o Familiar. (segun sea el caso) 
- Seguimiento a las acciones de área.
- Informes psicologicos.</t>
  </si>
  <si>
    <t xml:space="preserve">Fichas de Seguimiento
Informes Psicologicos </t>
  </si>
  <si>
    <t>Efectuar talleres de capacitación y sensibilizacion para el personal técnico y personal de  apoyo dependiente del programa.</t>
  </si>
  <si>
    <t xml:space="preserve">Informes </t>
  </si>
  <si>
    <t>1 Feria realizada.</t>
  </si>
  <si>
    <t>Realizar  talleres de prevención, difusión y sensibilizacion  contra la trata y trafico de persona, con poblacion externa.</t>
  </si>
  <si>
    <t>Realizar talleres de capacitacion en ramas tecnicas en beneficio de la poblacion acogida.</t>
  </si>
  <si>
    <t>Sin datos</t>
  </si>
  <si>
    <t xml:space="preserve">100 evaluaciones especializadas de las medidas de proteccion de cada niña, niño y adolescente internado en Centros de Acogida,para promover la restitucion al derecho a la familia y/o alternativas mediante Familia Sustituta.   </t>
  </si>
  <si>
    <t>6.065 niñas y niños menores de cinco años beneficiados en atencion integral en centros infantiles de municipios e instituciones en convenio a traves del Programa de Desarrollo Integral de la Primera Infancia.</t>
  </si>
  <si>
    <t>352 personas beneficiadas con atencion psicoterapeutica y social especializada</t>
  </si>
  <si>
    <t>Lic. Daniel Limachi Vino</t>
  </si>
  <si>
    <t>JEFE UNIDAD DE PLANIFICACION</t>
  </si>
  <si>
    <t>Lic. Mario Cáceres Poma</t>
  </si>
  <si>
    <t>DIRECTOR TECNICO SEDEGES</t>
  </si>
  <si>
    <t>CONSTRUCCION Y EQUIPAMIENTO DEL NUEVO BLOQUE ERICK BOULTER</t>
  </si>
  <si>
    <t>INV</t>
  </si>
  <si>
    <t>NUEVO</t>
  </si>
  <si>
    <t>MURILLO</t>
  </si>
  <si>
    <t>LA PAZ</t>
  </si>
  <si>
    <t>N ° de Construcciones</t>
  </si>
  <si>
    <t>EN PROGRAMACION
DOCUMENTACION REMITIDA CON ANTERIORIDAD A  LA SECRETARIA DE PLANIFICACION</t>
  </si>
  <si>
    <t>POR DESIGNAR</t>
  </si>
  <si>
    <t>ESTUDIO DE DISEÑO TECNICO DE PREINVERSION - CONSTRUCCION NUEVA INFRAESTRUCTURA PARA ADOLESCENTES CON RESPONSABILIDAD PENAL</t>
  </si>
  <si>
    <t>PRE-INV</t>
  </si>
  <si>
    <t>N° de Estudios</t>
  </si>
  <si>
    <t>Programa de Desarrollo Integral de la Primera Infancia</t>
  </si>
  <si>
    <t xml:space="preserve">Programa Modalidades Alternativas a la Institucionalizacion de niñas, niños y adolescentes. </t>
  </si>
  <si>
    <t>Realizar el proceso de evaluacion y su elaboracion de los informes de cada niña, niño y adolescente sobre la situacion psicosociolegal actual, para su remision a la instancia competente; en coordinacion con los actores principales (DNAs, Centro de Acogida y el Programa de Modalidades).</t>
  </si>
  <si>
    <t>150 evaluaciones psicosociolegal, y su remision de los  informes ante la autoridad competente.</t>
  </si>
  <si>
    <t>Realizar evaluaciones e informes psicosociolegal actuales de niñas, niños y adolescentes que no se reintergran a su familia de origen o ampliada, y/o viavilizar la reintegracion con familia sustituta, analizando caso por caso; realizando el seguimiento y acompañamiento familiar post restitucion de niñas, niños y adolescentes con familia sustituta.</t>
  </si>
  <si>
    <t>50 informes realizados</t>
  </si>
  <si>
    <t>Realizar talleres de capacitacion dirigida a solicitantes de restitucion al derecho a la familia</t>
  </si>
  <si>
    <t>Realizar el mantenimiento y reparacion del inmueble destinado al funcionamiento del programa</t>
  </si>
  <si>
    <t>1 solicitud realizada</t>
  </si>
  <si>
    <r>
      <rPr>
        <sz val="10"/>
        <rFont val="Arial"/>
        <family val="2"/>
      </rPr>
      <t xml:space="preserve">* 11 solicitudes de pago de honarario realizados
* 11 pagos de refrigerios  </t>
    </r>
    <r>
      <rPr>
        <sz val="10"/>
        <color rgb="FFFF0000"/>
        <rFont val="Arial"/>
        <family val="2"/>
      </rPr>
      <t xml:space="preserve">                                                             </t>
    </r>
  </si>
  <si>
    <t xml:space="preserve">5 procesos de solicitud de contratacion de consultores de linea realizados:                                                                                                                                     * 1 Coordinador/a                                                                          
* 1 Psicologo/a                                                                              
* 2 Trabajadores/as Sociales                                                        
* 1 Abogado/a             </t>
  </si>
  <si>
    <t>9 talleres de capacitacion realizados</t>
  </si>
  <si>
    <t>PROGRAMA DE DESARROLLO INTEGRAL DE LA PRIMERA INFANCIA</t>
  </si>
  <si>
    <t>PROGRAMA DEPARTAMENTAL DE ASISTENCIA SOCIAL</t>
  </si>
  <si>
    <t>PROGRAMA CENTRO DE ORIENTACION PARA ADOLESCENTES CON RESPONSABILIDAD PENAL</t>
  </si>
  <si>
    <t>PROGRAMA "CENTRO ESPECIALIZADO DE PREVENCIÓN Y ATENCIÓN TERAPEÚTICA A VÍCTIMAS DE VIOLENCIA SEXUAL" (CEPAT)</t>
  </si>
  <si>
    <t>PROGRAMA DE ATENCIÓN A ADULTOS MAYORES EN EL CENTRO TRANSITORIO INTERPROVINCIAL DEL DPTO. DE LA PAZ</t>
  </si>
  <si>
    <t>PROGRAMA DE PROTECCION PARA ADOLESCENTES  EXENTOS DE RESPONSABILIDAD PENAL</t>
  </si>
  <si>
    <t>PROGRAMA DEFENSA Y PROTECCION DE LA MUJER (IDH) D.S. 2145</t>
  </si>
  <si>
    <t>PROGRAMA CENTRO ESPECIAL PARA MUJERES VICTIMAS DEL DELITO DE TRATA Y TRAFICO DE PERSONAS</t>
  </si>
  <si>
    <t>PROGRAMA MODALIDADES ALTERNATIVAS A LA INSTITUCIONALIZACION DE  NIÑAS, NIÑOS Y ADOLESCENTES</t>
  </si>
  <si>
    <t>CONT</t>
  </si>
  <si>
    <t>MURILLO
OMASUYOS
LARECAJA
INGAVI
AROMA
PACAJES
CAMACHO
LOS ANDES       CARANAVI</t>
  </si>
  <si>
    <t>MURILLO
SUD YUNGAS
LOS ANDES</t>
  </si>
  <si>
    <t>Sud Yungas
Caranavi
Murillo
Pacajes
Loayza
Aroma
Inquisivi
Mnco Kapac</t>
  </si>
  <si>
    <t xml:space="preserve">ACHACACHI                     ACHOCALLA               ANCORAIMES                             BATALLAS                        CARANAVI                                         COLLANA                                 COLQUENCHA                                                 COMANCHE                                                   COROCORO                                     CHUA COCANI                                                                        EL ALTO                                        ESCOMA                                               GUANAY                                           MECAPACA                                         NAZACARA                                     PUCARANI                                             PUERTO ACOSTA                                PUERTO PEREZ                                                                   SANTIAGO DE HUATA                        SICA SICA                                               SORATA                                      TACACOMA                                  TIPUANI                                   VIACHA                     </t>
  </si>
  <si>
    <t>LA PAZ
LAJA
YANACACHI</t>
  </si>
  <si>
    <t>MULTI
MUNICIPAL</t>
  </si>
  <si>
    <t>La Paz
Caranavi
Palos Blancos
Chulumani
Viacha
Luribay
Patacamaya
Quime
Colquiri
Copacabana</t>
  </si>
  <si>
    <t>Niñas y niños atendidos</t>
  </si>
  <si>
    <t>Niñas, niños, adolescentes, jovenes, adultos mayores y personas con discapacidad.</t>
  </si>
  <si>
    <t>Adolescentes con Responsabilidad Penal</t>
  </si>
  <si>
    <t>Personas Víctimas de Violencia Sexual</t>
  </si>
  <si>
    <t>Personas Adultas Mayores</t>
  </si>
  <si>
    <t>Adoslecentes y jóvenes</t>
  </si>
  <si>
    <t>Jóvenes y Adultos</t>
  </si>
  <si>
    <t>Mujeres victimas del delito de trata y trafico de personas</t>
  </si>
  <si>
    <t>Niñas, niños, adolescentes</t>
  </si>
  <si>
    <t>Janeth Romero</t>
  </si>
  <si>
    <t>Ramiro Zapana</t>
  </si>
  <si>
    <t>Judith Yañez</t>
  </si>
  <si>
    <t>Marisol Manrriquez</t>
  </si>
  <si>
    <t>Sonia Yujra</t>
  </si>
  <si>
    <t>Filomena Quispe</t>
  </si>
  <si>
    <t>Mayra Sanjinez</t>
  </si>
  <si>
    <t>Claudia Torrez</t>
  </si>
  <si>
    <t>Vicente Sucxo Poma</t>
  </si>
  <si>
    <t>Unidad de Administración de Centros
Unidad de Salud</t>
  </si>
  <si>
    <t>400 Informes biopsicosociales elaborados</t>
  </si>
  <si>
    <t>840 casos de familias atendidos.</t>
  </si>
  <si>
    <t xml:space="preserve">1 Solicitud de adquisicion de productos farmaceuticos realizada.
1 Solicitud de adquisicion de prendas de vestir realizada.
1 Solicitud de adquisicion de utiles educacionalesrealizada.
1 Solicitud de adquisicion de material  recreativo realizada.
1 Solicitud  de adquisicion de útiles de escritorio realizada.                                   
2 solicitudes de adquisicion de papel realizadas.
1 Solicitud de adquisicion de material de limpieza realizada.                                                    
1 Solicitud de adquisicion de llantas realizada.                                                         </t>
  </si>
  <si>
    <t xml:space="preserve">22 solicitudes realizadas
11 pagos de haberes
11 pagos de refrigerios,
</t>
  </si>
  <si>
    <t xml:space="preserve">Programa Centro de  Orientación para Adolescentes con Responsabilidad Penal.
Area de Psicologia,Trabajo Social </t>
  </si>
  <si>
    <t>Registros
Informes</t>
  </si>
  <si>
    <t>1 Feria  realizada</t>
  </si>
  <si>
    <t>Registros Inbformes</t>
  </si>
  <si>
    <t>Registros Informes</t>
  </si>
  <si>
    <t>Registros 
Informes</t>
  </si>
  <si>
    <t>Coordinadora</t>
  </si>
  <si>
    <t>Trabajador(a) Social</t>
  </si>
  <si>
    <t>Gasto Corriente</t>
  </si>
  <si>
    <t>Responsable del Programa de Atencion a Adultos Mayores en el Centro Transitorio Interprovincial del Departamento de La Paz</t>
  </si>
  <si>
    <t>52,448.00</t>
  </si>
  <si>
    <t>4.768.00</t>
  </si>
  <si>
    <t>Tecnico I</t>
  </si>
  <si>
    <t>Fisioterapeuta</t>
  </si>
  <si>
    <t>Terapeuta Ocupacional</t>
  </si>
  <si>
    <t>Coordinadora, Profesional I</t>
  </si>
  <si>
    <t xml:space="preserve">Profesional en Trabajo Social, Psicologia </t>
  </si>
  <si>
    <t>Gasto corriente</t>
  </si>
  <si>
    <t>profesional I</t>
  </si>
  <si>
    <t>Psicologa I , Tecnico I</t>
  </si>
  <si>
    <t>Profesional en Psicologia</t>
  </si>
  <si>
    <t>Tecnico II</t>
  </si>
  <si>
    <t>PSicologa II, Tecnico I</t>
  </si>
  <si>
    <t>Psicoterapeuta I Profesional II</t>
  </si>
  <si>
    <t>profesional II</t>
  </si>
  <si>
    <t>psicoterapeuta II Profesional II</t>
  </si>
  <si>
    <t>Trabajador Social / Tecnico I</t>
  </si>
  <si>
    <t>Profesional  en Trabajo Social</t>
  </si>
  <si>
    <t>Profesional I - Coordinador/a</t>
  </si>
  <si>
    <t xml:space="preserve">Licenciado/a en Ciencias Sociales </t>
  </si>
  <si>
    <t xml:space="preserve">Gasto Corriente </t>
  </si>
  <si>
    <t>Programa de Proteccion para Adolescentes Exentos de Responsabilidad</t>
  </si>
  <si>
    <t>Profesional I</t>
  </si>
  <si>
    <t xml:space="preserve">Tecnico I - Trabajadora Social </t>
  </si>
  <si>
    <t>Licenciado/a en Trabajo Social</t>
  </si>
  <si>
    <t>Tecnico I - Psicologo/a</t>
  </si>
  <si>
    <t>Licenciado/a en Psicologia</t>
  </si>
  <si>
    <t>Coordinador/a</t>
  </si>
  <si>
    <t>Licenciado en Ciencias Humanas y Sociales Psicologa/a, Trabajador/a Social.</t>
  </si>
  <si>
    <t>Modalidades Alternativas a la Institucionalizacion de Niñas, Niños y Adolescentes Institucionalizados en Centros de Acogida, Mediante la Restitucion al derecho a la Familia y/o Familia Sustituta.</t>
  </si>
  <si>
    <t>Profesional II</t>
  </si>
  <si>
    <t>Psicologa/a</t>
  </si>
  <si>
    <t>Licenciado en Ciencias Humanas y Sociales Psicologa/a.</t>
  </si>
  <si>
    <t>Trabajador/a Social I</t>
  </si>
  <si>
    <t>Licenciado en Ciencias Humanas y SocialeS, Trabajador/a Social.</t>
  </si>
  <si>
    <t>Trabajador/a Social II</t>
  </si>
  <si>
    <t>Licenciado en Ciencias Humanas y Sociales, Trabajador/a Social.</t>
  </si>
  <si>
    <t>Abogada/o</t>
  </si>
  <si>
    <t>Licenciado en Ciencias del Derecho Abogada/o</t>
  </si>
  <si>
    <t>COORDINADOR (A)</t>
  </si>
  <si>
    <t xml:space="preserve">Licenciada en Trabajo Social  con título en Provisión Nacional </t>
  </si>
  <si>
    <t>Programa Defensa y Proteccion de la Mujer IDH D.S. 2145</t>
  </si>
  <si>
    <t>MEDICO (A=</t>
  </si>
  <si>
    <t>TRABAJADOR (A) SOCIAL I</t>
  </si>
  <si>
    <t>TECNICO I</t>
  </si>
  <si>
    <t xml:space="preserve">TRABAJADOR (A) SOCIAL II </t>
  </si>
  <si>
    <t>PSICOLOGO (A) I</t>
  </si>
  <si>
    <t xml:space="preserve">Licenciado (a)  en Psicologia con Titulo en Provisión Nacional </t>
  </si>
  <si>
    <t>PSICOLOGO (A) II</t>
  </si>
  <si>
    <t>EDUCADORA I</t>
  </si>
  <si>
    <t xml:space="preserve">Bchiller en humanidades y o titulo en educacion psarvulario </t>
  </si>
  <si>
    <t>TECNICO II</t>
  </si>
  <si>
    <t>EDUCADORA II</t>
  </si>
  <si>
    <t>EDUCADORA III</t>
  </si>
  <si>
    <t>EDUCADORA IV</t>
  </si>
  <si>
    <t>ECONONA COCINERA I</t>
  </si>
  <si>
    <t>PEDAGOGO (A)</t>
  </si>
  <si>
    <t>Profesional con Titulo en Provisión Nacional de Pedagogía o Ciencias de la Educación</t>
  </si>
  <si>
    <t>Trabajador Social/Centro de Orientación para Adolescentes con Responsabilidad Penal/</t>
  </si>
  <si>
    <t>Licenciado en Trabajo Social</t>
  </si>
  <si>
    <t>Centro de Orientación para Adolescentes con Responsabilidad Penal/</t>
  </si>
  <si>
    <t>Psicologo (a)(Centro de Orientación para Adolescentes con Responsabilidad Penal)</t>
  </si>
  <si>
    <t>Licenciado en Psicologia con especialidad en psicopedagogia</t>
  </si>
  <si>
    <t>Facilitador(a) de Mecanismod de justiiicia Restaurativa(Centro de Orientación para Adolescentes con Responsabilidad Penal)</t>
  </si>
  <si>
    <t>Licenciado en Ciencias de la Educacion o Trabajadora(or) con conocimiento de Mecanismos de Justicia Restaurativa</t>
  </si>
  <si>
    <t>Asesor Legal</t>
  </si>
  <si>
    <t>Nutricion y Salud</t>
  </si>
  <si>
    <t>Educacion Inicial</t>
  </si>
  <si>
    <t>Supervisor y Activos Fijos</t>
  </si>
  <si>
    <t>Seguimiento y Monitoreo</t>
  </si>
  <si>
    <t xml:space="preserve">Coordinadora </t>
  </si>
  <si>
    <t>Trabajadora Social</t>
  </si>
  <si>
    <t>Psicologia</t>
  </si>
  <si>
    <t>Licenciado/a en Psicología</t>
  </si>
  <si>
    <t xml:space="preserve">Terapeuta Ocupacional </t>
  </si>
  <si>
    <t>Licenciado/a en Terapia Ocupacional</t>
  </si>
  <si>
    <t>Educadora I</t>
  </si>
  <si>
    <t>Bachiller y/o Tecnico</t>
  </si>
  <si>
    <t>Educadora II</t>
  </si>
  <si>
    <t>Profesional Universitario medicina con Título en Provisión Nacional.</t>
  </si>
  <si>
    <t>Abogado</t>
  </si>
  <si>
    <t>Nutricionista</t>
  </si>
  <si>
    <t>Licenciado en Educacion INicial</t>
  </si>
  <si>
    <t>Tecnico 
informatica</t>
  </si>
  <si>
    <t>VARIABLES Y/O FACTORES IDENTIFICADAS - GESTIÓN 2020</t>
  </si>
  <si>
    <t>Fecha: 05/08/2020</t>
  </si>
  <si>
    <t xml:space="preserve">Unidad de Salud 
IDAI
IRI
IEB
Centros Kallutaca
Yanacachi </t>
  </si>
  <si>
    <t xml:space="preserve">Efectuar el seguimiento a los objetivos y operaciones institucionales contempladas en el POA 2021 del SEDEGES. </t>
  </si>
  <si>
    <t>1 documento elaborado del POA-2022</t>
  </si>
  <si>
    <t>Efectuar el seguimiento a los Programas recurrentes y no recurrentes, en coordinacion con las areas organizacionales del SEDEGES</t>
  </si>
  <si>
    <t>Elaborar y actualizar instrumentos normativos  de competencia del SEDEGES.</t>
  </si>
  <si>
    <t>12 documentos normativos elaborados y/o actualizados.</t>
  </si>
  <si>
    <t xml:space="preserve">
Elaborar los terminos de referencia para la contratación de Empresas Consultoras para la ejecución del Proyecto de Pre Inversión:
* Estudio de Diseño Técnico de Preinversión "Construcción Nueva Infraestructura para Adolescentes con Responsabilidad Penal".
</t>
  </si>
  <si>
    <t>Realizar la solicitud de contratación de servicios de Consultoria en Linea para "Desarrollo Organizacional" y de "Estadisticas".</t>
  </si>
  <si>
    <t xml:space="preserve">1 Solicitud de adquisicion de  productos químicos (pinturas,tintes, tiinner y otros) efectuado </t>
  </si>
  <si>
    <t>Realizar el inicio de procesos de contratacion para la solicitud de adquisicion de llantas, neumaticos, pisos  para los vehiculos del SEDEGES.</t>
  </si>
  <si>
    <t>1 solicitud de adquisicion  de llantas neumaticos y pisos realizados.</t>
  </si>
  <si>
    <t xml:space="preserve">Realizar la solicitud del inicio del proceso de contratación de dos Consultores en Linea como: (Técnicos Desarrolladores de Sistemas para el Area de Informática). </t>
  </si>
  <si>
    <t>Realizar la conciliacion entre el reporte de Ventanilla unica del GADLP y los registros de ingreso pór la venta de valoradas del SEDEGES</t>
  </si>
  <si>
    <t>Programa de Atención a Adultos Mayores en el Centro Transitorio Interprovincial del Dpto. de La Paz</t>
  </si>
  <si>
    <t xml:space="preserve">13 Solicitudes de Contratacion de Consultores Individuales de Linea realizados:                                                                                                                              1 Coordinadora del Programa                                                1 Medico (a)                                                                     2 Trabajadora Social                                                           2 Psicologo (a)                                                                1 Pedagogo (a)                                                        
4 Educadoras                                                                2 Economa/Cocinera                                                                          </t>
  </si>
  <si>
    <t>Elaborar solicitudes de :
* Pago de honorarios de los consultores de linea 
* Pago de refrigerios de consultores de linea.</t>
  </si>
  <si>
    <t>Realizar la solicitud de inicio de proceso de adquisicion de: 
*Utiles de Escritorio y Oficina.
*Papel de Escritorio.</t>
  </si>
  <si>
    <t xml:space="preserve">12 supervisiones a Centros de Acogida de atención a  personas adultas mayores .
</t>
  </si>
  <si>
    <t>Realizar los acogimientos  por orden judicial y otros de la población en situación de riesgo y protección en  Centros   dependientes de la Unidad de Administración de Centros del SEDEGES.</t>
  </si>
  <si>
    <t>Realizar la atencion en  medicina general y consultas anexas realizadas a requerimiento de la población beneficiaria de los Centros de atención a  personas adultas mayores dependientes de la Unidad de Administración de Centros del SEDEGES.</t>
  </si>
  <si>
    <t>6  supervisiones  realizados.</t>
  </si>
  <si>
    <t>Realizar los acogimientos  por orden judicial y otros de la población en situación de riesgo y protección en Centros dependientes de la Unidad de Administración de Centros del SEDEGES.</t>
  </si>
  <si>
    <t xml:space="preserve">Realizar el registro de egresos de la población atendida en los Centros de Acogida  de atención a mujeres e hijos victimas de violencia dependientes de la Unidad de Administración de Centros del SEDEGES. </t>
  </si>
  <si>
    <t>Realizar la solicitud de contratación de consultores en linea: (1 Regente Farmaceutico, 1 Auxiliar de Enfermeria, 4 Asistentes Multidisciplinarios, 1 portero, 1 veterinario)</t>
  </si>
  <si>
    <r>
      <t>Realiz</t>
    </r>
    <r>
      <rPr>
        <u/>
        <sz val="10"/>
        <rFont val="Arial"/>
        <family val="2"/>
      </rPr>
      <t xml:space="preserve">ar la </t>
    </r>
    <r>
      <rPr>
        <sz val="10"/>
        <rFont val="Arial"/>
        <family val="2"/>
      </rPr>
      <t>atencion en medicina general y consultas anexas realizadas a requerimiento de la población acogida de los Centros e institutos de discapacidad dependientes del SEDEGES.</t>
    </r>
  </si>
  <si>
    <t>Realizar talleres de capacitación para el personal técnico .</t>
  </si>
  <si>
    <t>2 Talleres de capacitación ejecutados.</t>
  </si>
  <si>
    <t>Efectuar la supervisión para acreditacion y seguimiento post acreditacion de forma presencial y/o virtual a centros de atencion integral publicos mixtos y privados</t>
  </si>
  <si>
    <t>Realizar la supervisión a Centros de Administración delegada y por convenio de manera presencial y/o virtual</t>
  </si>
  <si>
    <t>Realizar Talleres de sensibilización y capacitación a equipos operativos de los Gobiernos Autónomos Municipales en el departamento de La Paz  y población en situación de vulnerabilidad.</t>
  </si>
  <si>
    <t xml:space="preserve">Coordinar la atencion de la poblacion vulnerable a traves de los equipos operativos de los Gobiernos Autónomos Municipales del departamento de La Paz  </t>
  </si>
  <si>
    <r>
      <t>Realizar cursos a madres y padres adoptantes</t>
    </r>
    <r>
      <rPr>
        <u/>
        <sz val="10"/>
        <color theme="5"/>
        <rFont val="Arial"/>
        <family val="2"/>
      </rPr>
      <t xml:space="preserve"> </t>
    </r>
    <r>
      <rPr>
        <sz val="10"/>
        <rFont val="Arial"/>
        <family val="2"/>
      </rPr>
      <t>en el marco de la Ley 1168 de acuerdo a los contenidos minimos del Ministerio de Justicia y el monitoreo de  padres adoptantes.</t>
    </r>
  </si>
  <si>
    <r>
      <t>Realizar auditoria</t>
    </r>
    <r>
      <rPr>
        <u/>
        <sz val="10"/>
        <color theme="5"/>
        <rFont val="Arial"/>
        <family val="2"/>
      </rPr>
      <t xml:space="preserve"> </t>
    </r>
    <r>
      <rPr>
        <sz val="10"/>
        <rFont val="Arial"/>
        <family val="2"/>
      </rPr>
      <t>de Confiabilidad de los Registros y Estados Financieros, del Gobierno Autónomo Departamental de La Paz, al 31 de diciembre de 2020.</t>
    </r>
  </si>
  <si>
    <r>
      <t xml:space="preserve">Realizar </t>
    </r>
    <r>
      <rPr>
        <sz val="10"/>
        <rFont val="Arial"/>
        <family val="2"/>
      </rPr>
      <t xml:space="preserve"> auditoria o</t>
    </r>
    <r>
      <rPr>
        <sz val="10"/>
        <color theme="1"/>
        <rFont val="Arial"/>
        <family val="2"/>
      </rPr>
      <t xml:space="preserve">peracional a la Eficacia al Proceso de Reinserción de Adolescentes del  Programa Centro de Orientación para Adolescentes con Responsabilidad Penal  gestión 2020 </t>
    </r>
  </si>
  <si>
    <r>
      <t>Realizar</t>
    </r>
    <r>
      <rPr>
        <u/>
        <sz val="10"/>
        <color theme="5"/>
        <rFont val="Arial"/>
        <family val="2"/>
      </rPr>
      <t xml:space="preserve"> </t>
    </r>
    <r>
      <rPr>
        <sz val="10"/>
        <rFont val="Arial"/>
        <family val="2"/>
      </rPr>
      <t>Evaluación sobre el Procedimientos para el Cumplimiento Oportuno de la Declaración Jurada de Bienes y Rentas del Servicio Departamental de gestión Social SEDEGES – La Paz, al 31 de diciembre de 2020.</t>
    </r>
  </si>
  <si>
    <t>Realizar seguimiento al cumplimiento de las recomendaciones contenidas en los informes de Auditoría (interna o externa).</t>
  </si>
  <si>
    <t>5 planes elaborados.</t>
  </si>
  <si>
    <t xml:space="preserve">Realizar la solicitud de inicio de proceso de contratación de un Consultor en Linea como: (Técnico en Comunicación). </t>
  </si>
  <si>
    <t>1 solicitud efectuada</t>
  </si>
  <si>
    <r>
      <t>Realizar la solicit</t>
    </r>
    <r>
      <rPr>
        <sz val="10"/>
        <rFont val="Arial"/>
        <family val="2"/>
      </rPr>
      <t>ud  de pago de</t>
    </r>
    <r>
      <rPr>
        <sz val="10"/>
        <color theme="1"/>
        <rFont val="Arial"/>
        <family val="2"/>
      </rPr>
      <t xml:space="preserve"> consultoria  de haberes y refrigerios.</t>
    </r>
  </si>
  <si>
    <r>
      <t>Realizar la supervision a</t>
    </r>
    <r>
      <rPr>
        <u/>
        <sz val="10"/>
        <color theme="5"/>
        <rFont val="Arial"/>
        <family val="2"/>
      </rPr>
      <t xml:space="preserve"> </t>
    </r>
    <r>
      <rPr>
        <sz val="10"/>
        <rFont val="Arial"/>
        <family val="2"/>
      </rPr>
      <t>los centros de acogida e institutos dependientes del SEDEGES,  para el control de saldos existentes de vìveres secos, material de limpieza, de escritorio y donaciones.</t>
    </r>
  </si>
  <si>
    <t>Realizar  inicios de procesos administrativos de contratación de consultores de linea y procesos de ampliación de contrato de consultores en línea.</t>
  </si>
  <si>
    <r>
      <t xml:space="preserve">5 inicios de contrataciones a consultores </t>
    </r>
    <r>
      <rPr>
        <u/>
        <sz val="10"/>
        <color theme="5"/>
        <rFont val="Arial"/>
        <family val="2"/>
      </rPr>
      <t xml:space="preserve">y
</t>
    </r>
    <r>
      <rPr>
        <sz val="10"/>
        <rFont val="Arial"/>
        <family val="2"/>
      </rPr>
      <t>5 ampliaciones de contrato efectuados.</t>
    </r>
  </si>
  <si>
    <t xml:space="preserve">Realizar talleres presenciales  de  prevencion secundaria y capacitacion  en identificación de factores de riesgo, factores de protección con enfasis en masculinidades y resiliencia. </t>
  </si>
  <si>
    <t xml:space="preserve">Realizar  talleres presenciales y/o por medios virtuales deprevencion secundaria y capacitacion en identificación de factores que generan violencia a niñas, niños y adolescentes, dando a conocer la normartiva vigente y la ruta critica de atención para casos de violencia sexual. </t>
  </si>
  <si>
    <t xml:space="preserve">Realizar  talleres presenciales y/o virtuales de prevencion primaria y capacitacion con enfansis en la normativa vigente y bajo el enfoque de masculinidades.    </t>
  </si>
  <si>
    <t xml:space="preserve">Realizar talleres  presenciales y/o virtules,  de prevencion primaria y  capacitación con enfasis en identificacion de factores de riesgos enviando mensajes de autoproteccion.     </t>
  </si>
  <si>
    <t>Realizar talleres presenciales y/o virtuales de prevencion primaria y capacitacion en identificacion,causas, consecuencias ligadas a la violencia sexual y factores de riesgo y proteccion.</t>
  </si>
  <si>
    <t>Realizar la contratacion de consultores de linea para el Programa de Modalidades Alternativas a la Institucionalizacion mediante la restitucion al derecho a la familia y/o familia sustituta</t>
  </si>
  <si>
    <t>Realizar el inicio de procesos para la Contratación de Consultores Individuales de Línea</t>
  </si>
  <si>
    <t>3.7.1.1.</t>
  </si>
  <si>
    <t>MEDICO TIEMPO COMPLETO</t>
  </si>
  <si>
    <t>MEDICO EN TITULO EN PROVISION NACIONAL</t>
  </si>
  <si>
    <t>MEDICO  MEDIO TIEMPO</t>
  </si>
  <si>
    <t>TECNICO III (auxiliar de Emfermeria)</t>
  </si>
  <si>
    <t xml:space="preserve">LICENCIADA EN ENFEFRMEDIA </t>
  </si>
  <si>
    <t>Odontologo, encargado de farmacias, bioquimico</t>
  </si>
  <si>
    <t xml:space="preserve">LICENCIADO (A) </t>
  </si>
  <si>
    <t>PROFESIONAL I</t>
  </si>
  <si>
    <t>JEFE DE UNIDAD</t>
  </si>
  <si>
    <t>LICENCIADO TITULO EN PROVISION NACIONAL</t>
  </si>
  <si>
    <t xml:space="preserve">RESPONSABLE DE AREA I </t>
  </si>
  <si>
    <t>ADMINISTRADOR CENTRO -RESPONSABLE II</t>
  </si>
  <si>
    <t>ENCARGADO I</t>
  </si>
  <si>
    <t>TITULO EN TECNICO SUPERIOR</t>
  </si>
  <si>
    <t>ENCARGADO II</t>
  </si>
  <si>
    <t>TITULO EN TECNICO MEDIO</t>
  </si>
  <si>
    <t xml:space="preserve">TECNICO I   </t>
  </si>
  <si>
    <t>EGRESADO EN TECNICO SUPERIOR</t>
  </si>
  <si>
    <t xml:space="preserve">TECNICO II </t>
  </si>
  <si>
    <t>EGRESADO EN TECNICO MEDIO</t>
  </si>
  <si>
    <t>ADMINISTRATIVO I</t>
  </si>
  <si>
    <t>ADMINISTRATIVO II</t>
  </si>
  <si>
    <t>TECNICO MEDIO EN SECRETARIA EJECUTIVA</t>
  </si>
  <si>
    <t>ASISTENTE I CENTRO</t>
  </si>
  <si>
    <t>BACHILLER</t>
  </si>
  <si>
    <t>AUXILIAR I</t>
  </si>
  <si>
    <t xml:space="preserve">AUXILIAR II </t>
  </si>
  <si>
    <t>AUXILIAR III</t>
  </si>
  <si>
    <t>Personal Item , Gobierno Autonomo Departamental de La Paz</t>
  </si>
  <si>
    <t>Director</t>
  </si>
  <si>
    <t>Licenciado(a)</t>
  </si>
  <si>
    <t>Responsable Coordinador Dirección SEDEGES</t>
  </si>
  <si>
    <t>Técnico I / Jefe de la Unidad de Asistencia Social y Familia</t>
  </si>
  <si>
    <t>Tecnico I/ IRI</t>
  </si>
  <si>
    <t xml:space="preserve">Tecnico Superior </t>
  </si>
  <si>
    <t xml:space="preserve">Tecnico II/ Administradora </t>
  </si>
  <si>
    <t>Tecnico II / Coordinador del Programa de Desarrollo Inicial</t>
  </si>
  <si>
    <t>Técnico II /Jefe Unidad de Atención a la Persona con Discapacidad</t>
  </si>
  <si>
    <t>Jefe Unidad Administrativa Financiera</t>
  </si>
  <si>
    <t>Jefe de Unidad Jurídica</t>
  </si>
  <si>
    <t>Partida  25220     (Consultorias  en Linea)</t>
  </si>
  <si>
    <t>PROGRAMA    DEPARTAMENTAL    DE   ASITENCIA    SOCIAL</t>
  </si>
  <si>
    <t>Consultorías 
(de línea o por producto)</t>
  </si>
  <si>
    <t>ABOGADO(A)  UNIDAD JURIDICA</t>
  </si>
  <si>
    <t xml:space="preserve">Abogado(a)  </t>
  </si>
  <si>
    <t>Linea</t>
  </si>
  <si>
    <t>ABOGADO(A)  I  UNIDAD JURIDICA</t>
  </si>
  <si>
    <t>TRABAJADORA SOCIAL (UNIDAD DE BIOS)</t>
  </si>
  <si>
    <t>PSICOLOGO (UNIDAD DE BIOS)</t>
  </si>
  <si>
    <t>PSICOLOGO (UNIDAD DE ACREDITACION)</t>
  </si>
  <si>
    <t>ADMINISTRADOR DE EMPRESAS, CIENCIAS POLITICAS ( UNIDAD DE PLANIFICACION)</t>
  </si>
  <si>
    <t>ESTADISTICO (ADMINISTRADOR DE EMPRESAS)</t>
  </si>
  <si>
    <t>Licenciado</t>
  </si>
  <si>
    <t>TECNICO EN INFORMATICA</t>
  </si>
  <si>
    <t>Tecnico Superior o Sistemas</t>
  </si>
  <si>
    <t>TRABAJADORA SOCIAL II ( UDACSCA-CENTRO -IDAI)</t>
  </si>
  <si>
    <t>TRABAJADORA SOCIAL III (UDACSCA-REFUGIO DIGNIDAD)</t>
  </si>
  <si>
    <t>TRABAJADORA SOCIAL IV  (UDACSCA-NIÑO JESUS)</t>
  </si>
  <si>
    <t>ASISTENTE   DE  CONTRATACIONES (BBYSS)</t>
  </si>
  <si>
    <t xml:space="preserve">Tecnico Medio </t>
  </si>
  <si>
    <t xml:space="preserve">TECNICO EN COMUNICACIÓN </t>
  </si>
  <si>
    <t>Tecnico  Medio en Comunicación</t>
  </si>
  <si>
    <t>MAESTRO  MULTIPLE  (OBRAS Y MANTENIMIENTO)</t>
  </si>
  <si>
    <t>Bachiller</t>
  </si>
  <si>
    <t>MAESTRO  MULTIPLE I (OBRAS Y MANTENIMIENTO)</t>
  </si>
  <si>
    <t xml:space="preserve">EDUCADOR  (UDACSCA-CENTRO VARONES) </t>
  </si>
  <si>
    <t xml:space="preserve">EDUCADOR I (UDACSCA-CENTRO VARONES) </t>
  </si>
  <si>
    <t xml:space="preserve">EDUCADOR(A)  II  (UDACSCA-CENT. ACOG. JOSE SORIA) </t>
  </si>
  <si>
    <t xml:space="preserve">EDUCADOR(A) III  (UDACSCA-CENT. ACOG. JOSE SORIA) </t>
  </si>
  <si>
    <t xml:space="preserve">Bachiller </t>
  </si>
  <si>
    <t xml:space="preserve">ASISTENTE   PEDAGOGICO -- CENTRO ACOG. JOSE SORIA </t>
  </si>
  <si>
    <t>Tecnico Medio -Egresado Ciencias de Ed.</t>
  </si>
  <si>
    <t>ASISTENTE   PEDAGOGICO I-- CENTRO MENDEZ ARCOS</t>
  </si>
  <si>
    <t>ASISTENTE   PEDAGOGIGO II-- CENTRO NIÑO JESUS)</t>
  </si>
  <si>
    <t>EDUCAOR(A) IV UDACSCA-CENTRO M. ESTHER QUEVEDO)</t>
  </si>
  <si>
    <t xml:space="preserve">EDUCADOR(A)  V  (UDACSCA-CENTRO NIÑO JESUS) </t>
  </si>
  <si>
    <t xml:space="preserve">EDUCADOR(A)  VI  (UDACSCA-CENTRO NIÑO JESUS) </t>
  </si>
  <si>
    <t xml:space="preserve">EDUCADOR(A)  VII  (UDACSCA-CENTRO YANACACHI) </t>
  </si>
  <si>
    <t xml:space="preserve">ASISTENTE TERAPEUTICO  (CENTRO DE ACOG. KALLUTACA) </t>
  </si>
  <si>
    <t xml:space="preserve">ASISTENTE TERAPEUTICO I  (CENTRO DE ACOG. IDAI) </t>
  </si>
  <si>
    <t xml:space="preserve">ASISTENTE TERAPEUTICO II  (CENTRO DE ACOG. IDAI) </t>
  </si>
  <si>
    <t xml:space="preserve">ASISTENTE TERAPEUTICO III  (CENTRO ERIK BOULTER) </t>
  </si>
  <si>
    <t>MAMA DE HOGAR    ( VOLANTE   RR/HH)</t>
  </si>
  <si>
    <t xml:space="preserve">CHOFER   ( SECCION  DE TRANSPORTES) </t>
  </si>
  <si>
    <t xml:space="preserve">AUXILIAR DE ENFERMERIA(UNIDAD DE SALUD) </t>
  </si>
  <si>
    <t>Tecnico Medio y/o Tecnico Superior</t>
  </si>
  <si>
    <t>SUPERVISION Y COORDINACION DE GERSION SOCIAL INTEGRADA--FUENTE 20-230</t>
  </si>
  <si>
    <t>Abogado(A)  Unidad de Transparencia</t>
  </si>
  <si>
    <t>Auxuliar de Contabilidad (Area de Contabilidad)</t>
  </si>
  <si>
    <t>Tecnico medio Area Financiera</t>
  </si>
  <si>
    <t>Auxiliar Administrativo (Area de Recursos Humanos)</t>
  </si>
  <si>
    <t>Coordinador/Profesional II</t>
  </si>
  <si>
    <t>Profesional II Asesor Legal</t>
  </si>
  <si>
    <t xml:space="preserve">Profesional II  Educación Inicial </t>
  </si>
  <si>
    <t>Ciencias de la Educacion</t>
  </si>
  <si>
    <t>Profesional II  Nutrición y Salud</t>
  </si>
  <si>
    <t>Nutricionista Dietista</t>
  </si>
  <si>
    <t>Tecnico I  Supervisor</t>
  </si>
  <si>
    <t>Ciencias Sociales o ramas afines</t>
  </si>
  <si>
    <r>
      <t>Tecnico</t>
    </r>
    <r>
      <rPr>
        <sz val="7"/>
        <color theme="1"/>
        <rFont val="Arial"/>
        <family val="2"/>
      </rPr>
      <t xml:space="preserve"> I  Seguimiento y Monitoreo</t>
    </r>
  </si>
  <si>
    <t>Tecnico en Informática</t>
  </si>
  <si>
    <t>PROGRAMA CENTRO ESPECIALIZADO DE PREV. Y ATENCION TERAPEUTICA A VICTIMAS DE VIOLENCIA SEXUAL (CEPAT)</t>
  </si>
  <si>
    <t>Trabajador Social I</t>
  </si>
  <si>
    <t>Licenciada en Trabajo Social</t>
  </si>
  <si>
    <t>Trabajador Social II</t>
  </si>
  <si>
    <t>Psicologa I</t>
  </si>
  <si>
    <t>Licenciada en Psicologia</t>
  </si>
  <si>
    <t>Psicologa II</t>
  </si>
  <si>
    <t>Psicotepareuta I</t>
  </si>
  <si>
    <t>Licenciada en psicologia- especialidad</t>
  </si>
  <si>
    <t>Psicotepareuta II</t>
  </si>
  <si>
    <t>Secretaria</t>
  </si>
  <si>
    <t>Abogada</t>
  </si>
  <si>
    <t>PROGRAMA DEFENSA Y PROTECCION DE LA MUJER</t>
  </si>
  <si>
    <t>COORDINADORA DEL PROGRAMA</t>
  </si>
  <si>
    <t>LICENCIADA EN TRABAJO SOCIAL</t>
  </si>
  <si>
    <t>ABOGADO (A)</t>
  </si>
  <si>
    <t>LICENCIADO/A EN DERECHO</t>
  </si>
  <si>
    <t>TRABAJADORA SOCIAL I</t>
  </si>
  <si>
    <t>LICENCIADO (A) EN PSICOLOGIA</t>
  </si>
  <si>
    <t>LICENCIADO (A) EN CIENCIAS DE LA EDUCACION U/O PEDAGOGIA</t>
  </si>
  <si>
    <t>BACHILLER U/O TECNICO</t>
  </si>
  <si>
    <t>ECONOMA/COCINERA I</t>
  </si>
  <si>
    <t>ECONOMA/COCINERA II</t>
  </si>
  <si>
    <t>PROGRAMAS MODALIDADES ALTERNATIVAS A LA INSTITUCIONALIZACIÓN DE NIÑAS, NIÑOS Y ADOLESCENTES</t>
  </si>
  <si>
    <t>Licenciado en Ciencias Humanas y/o  Sociales. (Psicologo (a) o Trabajador (a) Social.</t>
  </si>
  <si>
    <t>Psicologo/a Profesional II</t>
  </si>
  <si>
    <t>Licenciado en psicología.</t>
  </si>
  <si>
    <t>Trabajador/a Social/Profesional II</t>
  </si>
  <si>
    <t>Abogado/a Profesional II</t>
  </si>
  <si>
    <t>Licenciado en Derecho</t>
  </si>
  <si>
    <t>PROGRAMA DE ATENCION A ADULTOS MAYORES</t>
  </si>
  <si>
    <t>Trabajador social</t>
  </si>
  <si>
    <t>ADMINISTRADORA</t>
  </si>
  <si>
    <t>TRABAJADORA SOCIAL</t>
  </si>
  <si>
    <t>TERAPEUTA</t>
  </si>
  <si>
    <t>MEDICO</t>
  </si>
  <si>
    <t>ENFERMERA</t>
  </si>
  <si>
    <t>NUTRICIONISTA</t>
  </si>
  <si>
    <t>NUTRICIONISTA DIETISTA</t>
  </si>
  <si>
    <t>EDUCADORAS</t>
  </si>
  <si>
    <t>COCINERA</t>
  </si>
  <si>
    <t>TERAPIA OCUPACIONAL</t>
  </si>
  <si>
    <t>TERAPISTA OCUPACIONAL</t>
  </si>
  <si>
    <t>PORTERO</t>
  </si>
  <si>
    <t>CHOFER</t>
  </si>
  <si>
    <t>PROGRAMA CENTRO DE ORIENTACIÓN PARA ADOLESCENTES CON RESPONSABILIDAD PENAL</t>
  </si>
  <si>
    <t xml:space="preserve">Psicologo  </t>
  </si>
  <si>
    <t>Licenciadio en Psicologia con especialidad en Psicopedagogia</t>
  </si>
  <si>
    <t xml:space="preserve">Trabajador Social </t>
  </si>
  <si>
    <t>RESPONSABLES DE LA INFORMACION</t>
  </si>
  <si>
    <t>NOMBRE Y APELLIDO</t>
  </si>
  <si>
    <t xml:space="preserve"> REVISADO POR: (Director)</t>
  </si>
  <si>
    <t>Lic. Mario Caceres Poma</t>
  </si>
  <si>
    <t>SECRETARIA DEPARTAMENTAL DE DESARROLLO SOCIAL Y COMUNITARIO a.i.</t>
  </si>
  <si>
    <t>Realizar la solicitud de adquisición de viveres secos  y formulas lacteas para Centros e Institutos de Administración directa del SEDEGES.</t>
  </si>
  <si>
    <r>
      <t>Realizar la solicitud de adquisición de</t>
    </r>
    <r>
      <rPr>
        <sz val="10"/>
        <color rgb="FFFF0000"/>
        <rFont val="Arial"/>
        <family val="2"/>
      </rPr>
      <t xml:space="preserve"> </t>
    </r>
    <r>
      <rPr>
        <sz val="10"/>
        <rFont val="Arial"/>
        <family val="2"/>
      </rPr>
      <t>menajes, utensilios de cocina y comedor para Centros e Institutos de Administración directa del SEDEGES.</t>
    </r>
  </si>
  <si>
    <t>Realizar la atención en medicina general y consultas anexas realizadas a requerimiento de la población beneficiaria de los Centros dependientes de la Unidad de Administración de Centros del SEDEGES.</t>
  </si>
  <si>
    <r>
      <t xml:space="preserve">Realizar </t>
    </r>
    <r>
      <rPr>
        <sz val="10"/>
        <rFont val="Arial"/>
        <family val="2"/>
      </rPr>
      <t>auditoria</t>
    </r>
    <r>
      <rPr>
        <sz val="10"/>
        <color theme="5"/>
        <rFont val="Arial"/>
        <family val="2"/>
      </rPr>
      <t xml:space="preserve"> </t>
    </r>
    <r>
      <rPr>
        <sz val="10"/>
        <color theme="1"/>
        <rFont val="Arial"/>
        <family val="2"/>
      </rPr>
      <t xml:space="preserve">operacional a laEficacia al proceso de prevención  del  Programa "Centro Especializado de Prevención y Atención Terapeutica a Victimas de Violencia Sexual, gestión 2020. </t>
    </r>
  </si>
  <si>
    <t>Realizar la solicitud de adquisicion de papeletas  valoradas de acuerdo a los aranceles establecidos por el GADLP</t>
  </si>
  <si>
    <t>Efectuar evaluaciones del estado nutricional y desarrollo de niños y niñas  beneficiarios del Programa PDIPI.</t>
  </si>
  <si>
    <t>Realizar la solicitud de inicio de procesos de adquisicion de: * Material de Escritorio * Papel * Material de limpieza.</t>
  </si>
  <si>
    <t>6 solicitudes efectuadas para gastos de transporte y viaticos</t>
  </si>
  <si>
    <t>2,879,599.03</t>
  </si>
  <si>
    <t>189,402.97</t>
  </si>
  <si>
    <r>
      <t>80 Adolescentes con responsabilidad penal beneficiados con intervención técnica</t>
    </r>
    <r>
      <rPr>
        <b/>
        <sz val="10"/>
        <color rgb="FFC00000"/>
        <rFont val="Arial"/>
        <family val="2"/>
      </rPr>
      <t>.</t>
    </r>
  </si>
  <si>
    <r>
      <t>20 Adolescentes exentos de responsabilidad penal beneficiados con atención  técnica.</t>
    </r>
    <r>
      <rPr>
        <b/>
        <sz val="10"/>
        <color rgb="FFFF0000"/>
        <rFont val="Arial"/>
        <family val="2"/>
      </rPr>
      <t xml:space="preserve"> </t>
    </r>
  </si>
  <si>
    <t>N° de personas beneficiadas con procesos terapeuticos y sociales especializados.</t>
  </si>
  <si>
    <t>N°  de niñas, niños y adolescentes evaluados</t>
  </si>
  <si>
    <r>
      <t>100 evaluaciones.efectuadas a la población beneficiaria</t>
    </r>
    <r>
      <rPr>
        <b/>
        <sz val="10"/>
        <color rgb="FFFF0000"/>
        <rFont val="Arial"/>
        <family val="2"/>
      </rPr>
      <t xml:space="preserve">. </t>
    </r>
    <r>
      <rPr>
        <sz val="10"/>
        <rFont val="Arial"/>
        <family val="2"/>
      </rPr>
      <t xml:space="preserve"> </t>
    </r>
  </si>
  <si>
    <t xml:space="preserve">
170 mujeres beneficiadas con atención integral.
</t>
  </si>
  <si>
    <t>Sin Datos</t>
  </si>
  <si>
    <t>Validar información de la evaluación y ajuste de los instrumentos de intervención del equipo tecnico  aplicados en los Centros  de Administración directa del SEDEGES.</t>
  </si>
  <si>
    <t xml:space="preserve">Realizar pruebas de laboratorio clínico a poblacion acogida. </t>
  </si>
  <si>
    <t>2 Informes de gestiones efectuadas.</t>
  </si>
  <si>
    <t>6 Solicitudes de adquisiciones efectuadas</t>
  </si>
  <si>
    <t>1 Solicitud de adquisición efectuada</t>
  </si>
  <si>
    <r>
      <t>1 Solicitud  de proceso para la contratación</t>
    </r>
    <r>
      <rPr>
        <sz val="10"/>
        <color rgb="FFC00000"/>
        <rFont val="Arial"/>
        <family val="2"/>
      </rPr>
      <t xml:space="preserve"> </t>
    </r>
    <r>
      <rPr>
        <sz val="10"/>
        <rFont val="Arial"/>
        <family val="2"/>
      </rPr>
      <t>realizada</t>
    </r>
  </si>
  <si>
    <t>Lic. Patricia Diaz Tarqui</t>
  </si>
  <si>
    <t xml:space="preserve">SECRETARIA DEPARTAMENTAL DE DESARROLLO SOCIAL Y COMUNITARIO </t>
  </si>
  <si>
    <t>Programa para Niñas y niños y adolescentes</t>
  </si>
  <si>
    <t>Programa para Adultos Mayores</t>
  </si>
  <si>
    <t>Programa de Empoderamiento de Mujeres</t>
  </si>
  <si>
    <t xml:space="preserve">
6.065 Niñas y niños de centros infantiles de municipios e instituciones en convenio, beneficiados con atención integral.
</t>
  </si>
  <si>
    <t>3.7.2.3</t>
  </si>
  <si>
    <t>3.7.2.4</t>
  </si>
  <si>
    <t>3.7.2.5</t>
  </si>
  <si>
    <t>3.7.2.6</t>
  </si>
  <si>
    <t>180 personas acogidas con algun tipo de discapacidad reciben atención integral, medica primaria preventiva en Centros  e Institutos dependientes del SEDEGES.
14336 personas externas y acogidas con algun tipo de discapacidad reciben atención  medica  en Centros  e Institutos dependientes del SEDEGES.</t>
  </si>
  <si>
    <t>3.7.1.1.1</t>
  </si>
  <si>
    <t>3.7.1.1.2</t>
  </si>
  <si>
    <t>3.7.1.1.3</t>
  </si>
  <si>
    <t>3.7.1.1.4</t>
  </si>
  <si>
    <t>3.7.1.1.5</t>
  </si>
  <si>
    <t>3.7.1.1.6</t>
  </si>
  <si>
    <t>3.7.1.1.7</t>
  </si>
  <si>
    <t>3.7.1.1.8</t>
  </si>
  <si>
    <t>3.7.1.1.9</t>
  </si>
  <si>
    <t>3.7.1.1.10</t>
  </si>
  <si>
    <t>3.7.1.1.11</t>
  </si>
  <si>
    <t>3.7.1.1.12</t>
  </si>
  <si>
    <t>3.7.1.1.13</t>
  </si>
  <si>
    <t>3.7.1.1.14</t>
  </si>
  <si>
    <t>3.7.1.1.15</t>
  </si>
  <si>
    <t>3.7.1.1.16</t>
  </si>
  <si>
    <t>3.7.1.1.17</t>
  </si>
  <si>
    <t>3.7.1.1.18</t>
  </si>
  <si>
    <t>3.7.1.1.19</t>
  </si>
  <si>
    <t>3.7.1.1.20</t>
  </si>
  <si>
    <t>3.7.1.1.21</t>
  </si>
  <si>
    <t>3.7.1.1.22</t>
  </si>
  <si>
    <t>3.7.1.1.23</t>
  </si>
  <si>
    <t>3.7.1.1.24</t>
  </si>
  <si>
    <t>3.7.1.1.25</t>
  </si>
  <si>
    <t>3.7.1.1.26</t>
  </si>
  <si>
    <t>3.7.1.1.27</t>
  </si>
  <si>
    <t>3.7.1.1.28</t>
  </si>
  <si>
    <t>3.7.1.1.29</t>
  </si>
  <si>
    <t xml:space="preserve">Unidad de Salud </t>
  </si>
  <si>
    <t>beneficiarios</t>
  </si>
  <si>
    <t>3.7.2.1.1</t>
  </si>
  <si>
    <t>3.7.2.1.2</t>
  </si>
  <si>
    <t>3.7.2.1.3</t>
  </si>
  <si>
    <t>3.7.2.1.4</t>
  </si>
  <si>
    <t>3.7.2.1.5</t>
  </si>
  <si>
    <t>3.7.2.1.6</t>
  </si>
  <si>
    <t>3.7.2.1.7</t>
  </si>
  <si>
    <t>3.7.2.1.8</t>
  </si>
  <si>
    <t>3.7.2.1.9</t>
  </si>
  <si>
    <t>3.7.2.1.10</t>
  </si>
  <si>
    <t>3.7.2.1.11</t>
  </si>
  <si>
    <t>3.7.2.1.12</t>
  </si>
  <si>
    <t>3.7.2.1.13</t>
  </si>
  <si>
    <t>3.7.2.1.14</t>
  </si>
  <si>
    <t>3.7.2.1.15</t>
  </si>
  <si>
    <t>3.7.2.1.16</t>
  </si>
  <si>
    <t>3.7.2.1.17</t>
  </si>
  <si>
    <t>3.7.2.1.18</t>
  </si>
  <si>
    <t>3.7.2.1.19</t>
  </si>
  <si>
    <t>3.7.2.1.20</t>
  </si>
  <si>
    <t>3.7.2.1.21</t>
  </si>
  <si>
    <t>3.7.2.1.22</t>
  </si>
  <si>
    <t>3.7.2.1.23</t>
  </si>
  <si>
    <t>3.7.2.1.24</t>
  </si>
  <si>
    <t>3.7.2.1.25</t>
  </si>
  <si>
    <t>3.7.2.1.26</t>
  </si>
  <si>
    <t>3.7.2.1.27</t>
  </si>
  <si>
    <t>3.7.2.1.28</t>
  </si>
  <si>
    <t>3.7.2.1.29</t>
  </si>
  <si>
    <t>3.7.2.1.30</t>
  </si>
  <si>
    <t>3.7.2.1.31</t>
  </si>
  <si>
    <t>3.7.2.1.32</t>
  </si>
  <si>
    <t>3.7.2.1.33</t>
  </si>
  <si>
    <t>3.7.2.1.34</t>
  </si>
  <si>
    <t>3.7.2.1.35</t>
  </si>
  <si>
    <t>3.7.2.1.36</t>
  </si>
  <si>
    <t>3.7.2.1.37</t>
  </si>
  <si>
    <t>3.7.2.1.38</t>
  </si>
  <si>
    <t>3.7.2.1.39</t>
  </si>
  <si>
    <t>3.7.2.1.40</t>
  </si>
  <si>
    <t>3.7.2.1.41</t>
  </si>
  <si>
    <t>3.7.2.1.42</t>
  </si>
  <si>
    <t>3.7.2.1.43</t>
  </si>
  <si>
    <t>3.7.2.1.44</t>
  </si>
  <si>
    <t>3.7.2.1.45</t>
  </si>
  <si>
    <t>3.7.2.1.46</t>
  </si>
  <si>
    <t>3.7.2.1.47</t>
  </si>
  <si>
    <t>3.7.2.1.48</t>
  </si>
  <si>
    <t>3.7.2.1.49</t>
  </si>
  <si>
    <t>3.7.2.1.50</t>
  </si>
  <si>
    <t>3.7.2.1.51</t>
  </si>
  <si>
    <t>3.7.2.1.52</t>
  </si>
  <si>
    <t>3.7.2.1.53</t>
  </si>
  <si>
    <t>3.7.2.1.54</t>
  </si>
  <si>
    <t>3.7.2.1.55</t>
  </si>
  <si>
    <t>3.7.2.1.56</t>
  </si>
  <si>
    <t>3.7.2.1.57</t>
  </si>
  <si>
    <t>3.7.2.1.58</t>
  </si>
  <si>
    <t>3.7.2.1.59</t>
  </si>
  <si>
    <t>3.7.2.1.60</t>
  </si>
  <si>
    <t>3.7.2.1.61</t>
  </si>
  <si>
    <t>3.7.2.1.62</t>
  </si>
  <si>
    <t>3.7.2.1.63</t>
  </si>
  <si>
    <t>3.7.2.1.64</t>
  </si>
  <si>
    <t>3.7.2.1.65</t>
  </si>
  <si>
    <t>3.7.2.1.66</t>
  </si>
  <si>
    <t>3.7.2.1.67</t>
  </si>
  <si>
    <t>3.7.2.1.68</t>
  </si>
  <si>
    <t>3.7.2.1.69</t>
  </si>
  <si>
    <t>3.7.2.1.70</t>
  </si>
  <si>
    <t>3.7.2.1.71</t>
  </si>
  <si>
    <t>3.7.2.1.72</t>
  </si>
  <si>
    <t>3.7.2.1.73</t>
  </si>
  <si>
    <t>3.7.2.1.74</t>
  </si>
  <si>
    <t>3.7.2.1.75</t>
  </si>
  <si>
    <t>3.7.2.1.76</t>
  </si>
  <si>
    <t>3.7.2.1.77</t>
  </si>
  <si>
    <t>3.7.2.1.78</t>
  </si>
  <si>
    <t>3.7.2.1.79</t>
  </si>
  <si>
    <t>3.7.2.1.80</t>
  </si>
  <si>
    <t>3.7.2.1.81</t>
  </si>
  <si>
    <t>3.7.2.1.82</t>
  </si>
  <si>
    <t>3.7.2.1.83</t>
  </si>
  <si>
    <t>3.7.2.1.84</t>
  </si>
  <si>
    <t>3.7.2.1.85</t>
  </si>
  <si>
    <t>3.7.2.1.86</t>
  </si>
  <si>
    <t>3.7.2.1.87</t>
  </si>
  <si>
    <t>3.7.2.1.88</t>
  </si>
  <si>
    <t>3.7.2.1.89</t>
  </si>
  <si>
    <t>3.7.2.1.90</t>
  </si>
  <si>
    <t>3.7.2.1.91</t>
  </si>
  <si>
    <t>3.7.2.1.92</t>
  </si>
  <si>
    <t>3.7.2.1.93</t>
  </si>
  <si>
    <t>3.7.2.1.94</t>
  </si>
  <si>
    <t>3.7.2.1.95</t>
  </si>
  <si>
    <t>3.7.2.1.96</t>
  </si>
  <si>
    <t>3.7.2.1.97</t>
  </si>
  <si>
    <t>3.7.2.1.98</t>
  </si>
  <si>
    <t>3.7.2.1.99</t>
  </si>
  <si>
    <t>3.7.2.1.100</t>
  </si>
  <si>
    <t>3.7.2.1.101</t>
  </si>
  <si>
    <t>3.7.2.1.102</t>
  </si>
  <si>
    <t>3.7.2.1.103</t>
  </si>
  <si>
    <t>3.7.2.1.104</t>
  </si>
  <si>
    <t>3.7.2.1.105</t>
  </si>
  <si>
    <t>3.7.2.1.106</t>
  </si>
  <si>
    <t>3.7.2.1.107</t>
  </si>
  <si>
    <t>3.7.2.1.108</t>
  </si>
  <si>
    <t>3.7.2.1.109</t>
  </si>
  <si>
    <t>3.7.2.1.110</t>
  </si>
  <si>
    <t>3.7.2.1.111</t>
  </si>
  <si>
    <t>3.7.2.1.112</t>
  </si>
  <si>
    <t>3.7.2.1.113</t>
  </si>
  <si>
    <t>3.7.2.1.114</t>
  </si>
  <si>
    <t>3.7.2.1.115</t>
  </si>
  <si>
    <t>3.7.2.1.116</t>
  </si>
  <si>
    <t>3.7.2.1.117</t>
  </si>
  <si>
    <t>3.7.2.1.118</t>
  </si>
  <si>
    <t>3.7.2.1.119</t>
  </si>
  <si>
    <t>3.7.2.1.120</t>
  </si>
  <si>
    <t>3.7.2.1.121</t>
  </si>
  <si>
    <t>3.7.2.1.122</t>
  </si>
  <si>
    <t>3.7.2.1.123</t>
  </si>
  <si>
    <t>3.7.2.1.124</t>
  </si>
  <si>
    <t>3.7.2.1.125</t>
  </si>
  <si>
    <t>3.7.2.1.126</t>
  </si>
  <si>
    <t>3.7.2.1.127</t>
  </si>
  <si>
    <t>3.7.2.1.128</t>
  </si>
  <si>
    <t>3.7.2.1.129</t>
  </si>
  <si>
    <t>3.7.2.1.130</t>
  </si>
  <si>
    <t>3.7.2.1.131</t>
  </si>
  <si>
    <t>3.7.2.1.132</t>
  </si>
  <si>
    <t>3.7.2.1.133</t>
  </si>
  <si>
    <t>3.7.2.1.134</t>
  </si>
  <si>
    <t>3.7.2.1.135</t>
  </si>
  <si>
    <t>3.7.2.1.136</t>
  </si>
  <si>
    <t>3.7.2.1.137</t>
  </si>
  <si>
    <t>3.7.2.1.138</t>
  </si>
  <si>
    <t>3.7.2.1.139</t>
  </si>
  <si>
    <t>3.7.2.1.140</t>
  </si>
  <si>
    <t>3.7.2.1.141</t>
  </si>
  <si>
    <t>3.7.2.1.142</t>
  </si>
  <si>
    <t>3.7.2.1.143</t>
  </si>
  <si>
    <t>3.7.2.1.144</t>
  </si>
  <si>
    <t>3.7.2.1.145</t>
  </si>
  <si>
    <t>3.7.2.1.146</t>
  </si>
  <si>
    <t>3.7.2.1.147</t>
  </si>
  <si>
    <t>3.7.2.1.148</t>
  </si>
  <si>
    <t>3.7.2.1.149</t>
  </si>
  <si>
    <t>3.7.2.1.150</t>
  </si>
  <si>
    <t>3.7.2.1.151</t>
  </si>
  <si>
    <t>3.7.2.1.152</t>
  </si>
  <si>
    <t>3.7.2.1.153</t>
  </si>
  <si>
    <t>3.7.2.1.154</t>
  </si>
  <si>
    <t>3.7.2.1.155</t>
  </si>
  <si>
    <t>3.7.2.1.156</t>
  </si>
  <si>
    <t>3.7.2.1.157</t>
  </si>
  <si>
    <t>3.7.2.1.158</t>
  </si>
  <si>
    <t>3.7.2.1.159</t>
  </si>
  <si>
    <t>3.7.2.1.160</t>
  </si>
  <si>
    <t>3.7.2.1.161</t>
  </si>
  <si>
    <t>3.7.2.1.162</t>
  </si>
  <si>
    <t>3.7.2.1.163</t>
  </si>
  <si>
    <t>3.7.2.1.164</t>
  </si>
  <si>
    <t>3.7.2.1.165</t>
  </si>
  <si>
    <t>3.7.2.1.166</t>
  </si>
  <si>
    <t>3.7.2.1.167</t>
  </si>
  <si>
    <t>3.7.2.1.168</t>
  </si>
  <si>
    <t>3.7.2.1.169</t>
  </si>
  <si>
    <t>3.7.2.1.170</t>
  </si>
  <si>
    <t>3.7.2.1.171</t>
  </si>
  <si>
    <t>3.7.2.1.172</t>
  </si>
  <si>
    <t>3.7.2.1.173</t>
  </si>
  <si>
    <t>3.7.2.1.174</t>
  </si>
  <si>
    <t>3.7.2.1.175</t>
  </si>
  <si>
    <t>3.7.2.2.1</t>
  </si>
  <si>
    <t>3.7.2.2.2</t>
  </si>
  <si>
    <t>3.7.2.2.3</t>
  </si>
  <si>
    <t>3.7.2.2.4</t>
  </si>
  <si>
    <t>3.7.2.2.5</t>
  </si>
  <si>
    <t>3.7.2.2.6</t>
  </si>
  <si>
    <t>3.7.2.2.7</t>
  </si>
  <si>
    <t>3.7.2.2.8</t>
  </si>
  <si>
    <t>3.7.2.2.9</t>
  </si>
  <si>
    <t>3.7.2.2.10</t>
  </si>
  <si>
    <t>3.7.2.2.11</t>
  </si>
  <si>
    <t>3.7.2.2.12</t>
  </si>
  <si>
    <t>3.7.2.2.13</t>
  </si>
  <si>
    <t>3.7.2.2.14</t>
  </si>
  <si>
    <t>3.7.2.2.15</t>
  </si>
  <si>
    <t>3.7.2.3.1</t>
  </si>
  <si>
    <t>3.7.2.3.2</t>
  </si>
  <si>
    <t>3.7.2.3.3</t>
  </si>
  <si>
    <t>3.7.2.3.4</t>
  </si>
  <si>
    <t>3.7.2.3.5</t>
  </si>
  <si>
    <t>3.7.2.3.6</t>
  </si>
  <si>
    <t>3.7.2.3.7</t>
  </si>
  <si>
    <t>3.7.2.3.8</t>
  </si>
  <si>
    <t>3.7.2.3.9</t>
  </si>
  <si>
    <t>3.7.2.3.10</t>
  </si>
  <si>
    <t>3.7.2.3.11</t>
  </si>
  <si>
    <t>3.7.2.3.12</t>
  </si>
  <si>
    <t>3.7.2.4.1</t>
  </si>
  <si>
    <t>3.7.2.4.2</t>
  </si>
  <si>
    <t>3.7.2.4.3</t>
  </si>
  <si>
    <t>3.7.2.4.4</t>
  </si>
  <si>
    <t>3.7.2.4.5</t>
  </si>
  <si>
    <t>3.7.2.4.6</t>
  </si>
  <si>
    <t>3.7.2.4.7</t>
  </si>
  <si>
    <t>3.7.2.4.8</t>
  </si>
  <si>
    <t>3.7.2.4.9</t>
  </si>
  <si>
    <t>3.7.2.4.10</t>
  </si>
  <si>
    <t>3.7.2.4.11</t>
  </si>
  <si>
    <t>3.7.2.5.1</t>
  </si>
  <si>
    <t>3.7.2.5.2</t>
  </si>
  <si>
    <t>3.7.2.5.3</t>
  </si>
  <si>
    <t>3.7.2.5.4</t>
  </si>
  <si>
    <t>3.7.2.5.5</t>
  </si>
  <si>
    <t>3.7.2.5.6</t>
  </si>
  <si>
    <t>3.7.2.5.7</t>
  </si>
  <si>
    <t>3.7.2.5.8</t>
  </si>
  <si>
    <t>3.7.2.5.9</t>
  </si>
  <si>
    <t>3.7.2.5.10</t>
  </si>
  <si>
    <t>3.7.2.5.11</t>
  </si>
  <si>
    <t>3.7.2.6.1</t>
  </si>
  <si>
    <t>3.7.2.6.2</t>
  </si>
  <si>
    <t>3.7.2.6.3</t>
  </si>
  <si>
    <t>3.7.2.6.4</t>
  </si>
  <si>
    <t>3.7.2.6.5</t>
  </si>
  <si>
    <t>3.7.2.6.6</t>
  </si>
  <si>
    <t>3.7.2.6.7</t>
  </si>
  <si>
    <t>3.7.4.1.1</t>
  </si>
  <si>
    <t>3.7.4.1.2</t>
  </si>
  <si>
    <t>3.7.4.1.3</t>
  </si>
  <si>
    <t>3.7.4.1.4</t>
  </si>
  <si>
    <t>3.7.4.1.5</t>
  </si>
  <si>
    <t>3.7.4.1.6</t>
  </si>
  <si>
    <t>3.7.4.1.7</t>
  </si>
  <si>
    <t>3.7.4.1.8</t>
  </si>
  <si>
    <t>3.7.4.1.9</t>
  </si>
  <si>
    <t>3.7.4.1.10</t>
  </si>
  <si>
    <t>3.7.4.1.11</t>
  </si>
  <si>
    <t>3.7.4.1.12</t>
  </si>
  <si>
    <t>Programa de Desarrollo Integral de la Primera Infancia
Coordinador
Consultor Asesor Legal
Consultor Supervisor, Consultor en Seguimiento y Monitoreo</t>
  </si>
  <si>
    <t>Unidad de Administración de Centros.
*Nutrición .</t>
  </si>
  <si>
    <t xml:space="preserve">Unidad de Administración de Centros.
Trabajo Social </t>
  </si>
  <si>
    <t>Realizar la atención a traves del seguimiento y verificación de la intervención y acciones del área de Trabajo Social en beneficio de la población en situacion de vulnerabilidad,  acogidas en los Centros  dependientes de la Unidad de Administración de Centros del SEDEGES.</t>
  </si>
  <si>
    <t xml:space="preserve">Unidad de Planificacion 
Area de Control de Gestión
</t>
  </si>
  <si>
    <t>Programa de Desarrollo  Integral de la Primera Infancia
Consultor en Seguimiento y Monitoreo.</t>
  </si>
  <si>
    <t>Programa Centro de  Orientación para Adolescentes con Responsabilidad Penal.
 Equipo Interdisciplinario</t>
  </si>
  <si>
    <t xml:space="preserve">N° de beneficiarias  mujeres. </t>
  </si>
  <si>
    <t>140  (Mujeres, hijos e hijas) victimas del delito de trata y trafico beneficiados con atencion integral mediante el  Programa Centro Especial para Mujeres Victimas del Delito de Trata y Trafico de Personas.</t>
  </si>
  <si>
    <t>20 Niños y Adolescentes Exentos de Responsabilidad Penal beneficiados de los diferentes Municipios rurales, periurbanos y urbanos del Departamento de La Paz, a través del Programa  de Proteccion para Adolescentes Exentos de Responsabilidad Penal.</t>
  </si>
  <si>
    <t>100 beneficiados Adultos Mayores promedio mes/año  recibieron atencion integral a travez del Programa de Atencion a Adultos Mayores en el Centro Transitorio Interprovincial La Paz</t>
  </si>
  <si>
    <t>100 beneficiados Adultos Mayores promedio mes/año  recibieron atencion integral a trvez del Programa de Atencion a Adultos Mayores en el Centro Transitorio Interprovincial La Paz</t>
  </si>
  <si>
    <r>
      <t>100 adultos mayores beneficiados de la atención integral.</t>
    </r>
    <r>
      <rPr>
        <b/>
        <sz val="10"/>
        <color rgb="FFFF0000"/>
        <rFont val="Arial"/>
        <family val="2"/>
      </rPr>
      <t xml:space="preserve">  </t>
    </r>
  </si>
  <si>
    <t>352 beneficiados con psicoterapias especializadas e integrales, moviles y en camara gessel a niñas, niños, adolescentes victimas de violencia sexual y sus familias derivadas al Centro Especializado Prevencion y Atencion Terapeutica CEPAT</t>
  </si>
  <si>
    <t>74  Niños y Adolescentes beneficiados de los diferentes Municipios rurales, periurbanos y urbanos del Departamento de La Paz, son beneficiados a través de la intervención técnica interdisciplinaria del Programa Centro de Orientacion para Adolescentes con Responsabilidad Penal.</t>
  </si>
  <si>
    <t>140  (Mujeres, hijos e hijas) victimas del delito de trata y trafico  beneficiados  con atencion integral</t>
  </si>
  <si>
    <t>847,470.00</t>
  </si>
  <si>
    <t>MULTI
PROVINCIAL</t>
  </si>
  <si>
    <t>41.2%</t>
  </si>
  <si>
    <t>33.2%</t>
  </si>
  <si>
    <t>47,956.26</t>
  </si>
  <si>
    <t>119,441.00</t>
  </si>
  <si>
    <t>Murillo
Sud Yungas
Los Andes</t>
  </si>
  <si>
    <t>La Paz
Laja
Yanacachi</t>
  </si>
  <si>
    <t>179,630.26</t>
  </si>
  <si>
    <t>425,709.00</t>
  </si>
  <si>
    <t>MULTIPROVINCIAL</t>
  </si>
  <si>
    <t>MULTIMUNICIPAL</t>
  </si>
  <si>
    <t>47,134.40</t>
  </si>
  <si>
    <t>106,000.00</t>
  </si>
  <si>
    <t>15.7%</t>
  </si>
  <si>
    <t>3.1%</t>
  </si>
  <si>
    <t>7,946.67</t>
  </si>
  <si>
    <t>106,165.00</t>
  </si>
  <si>
    <t>170,000.00</t>
  </si>
  <si>
    <t>*  Para el Costo total del Programa de Asistencia Social  se ha considerado el presupuesto vigente gestión 2021-  2025</t>
  </si>
  <si>
    <t xml:space="preserve"> </t>
  </si>
  <si>
    <t>720 Evaluaciones y reevaluaciones realizadas:
* 120 Reevaluaciones a poblacion acogida.
* 600 Evaluaciones y reevaluaciones  a la poblacion externa.</t>
  </si>
  <si>
    <t>6 Solcitudes de Contratación realizados.:
1 coordinador/a
2 psicologas
2 psicoterapeutas
1 Trabajador Social</t>
  </si>
  <si>
    <t>4 informes de supervisión realizados</t>
  </si>
  <si>
    <t>Realizar la solicitud del inicio del proceso de contratación de servicios para amurallado o enmallado de predios que administra el Servicio Departamental de Gestion Social</t>
  </si>
  <si>
    <t>3.7.2.1.176</t>
  </si>
  <si>
    <t>3.7.2.1.177</t>
  </si>
  <si>
    <t>Realizar la solicitud de inicio de proceso de contratacion para la adquisicion de combustible y lubricantes para el parque automotor del SEDEGES.</t>
  </si>
  <si>
    <t>2 solicitudes de adquisicion de Combustible y 1 de lubricantes realizado.</t>
  </si>
  <si>
    <t>Realizar la solicitud de adquisicion de ropa de trabajo y calzados para el personal de las Secciones de Almacenes, Activos, Obras y Transportes del SEDEGES</t>
  </si>
  <si>
    <t xml:space="preserve">Realizar la solicitud de inicio de proceso de contratacion para la adquisicion de material de escritorio para los centros, institutos y oficina central del SEDEGES </t>
  </si>
  <si>
    <t>Realizar la solicitud de inicio de proceso de congtratacion para la adquisicion de papel para los centros e institutos y oficina central de SEDEGES</t>
  </si>
  <si>
    <t>Realizar la solicitud de inicio de proceso de contratacion para la adquisicion de m aterial de lmpieza e higiene destinado los centros, institutos y oficina central dependientes del SEDEGES</t>
  </si>
  <si>
    <t>Realizar la solicitud de inicio de proceso de contratacion de servicios de imprenta para la elaboración formularios de: Salud, Biopsicosocial, Kardex, Bincar y otros destinada al funcionamiento del SEDEGES</t>
  </si>
  <si>
    <t>Realizar la solicitud de inicio de proceso de contratacion para la adquisicion de calzados y ropa de trabajo  para el personal de la Sección de Obras y Mantenimiento del SEDEGES</t>
  </si>
  <si>
    <t>Realizar la solicitud de inicio de proceso de contratacion para la adquisicion de herramientas para la Seccion de Obras y Mantenimiento del SEDEGES</t>
  </si>
  <si>
    <t>Realizar la solicitud de inicio de proceso de contratacion para la adquisicion de productos agricolas pecuarios y forestales (madera y otros) para los Centros de Acogida, Institutos y Oficina Central dependientes del SEDEGES</t>
  </si>
  <si>
    <t>Realizar la solicitud de inicio de proceso de contratacion para la adquisicion de productos químicos (pinturas, tintes, tinner y otros) destinado al mantenimiento de los Centros de Acogida, Institutos y Oficina Central dependientes del SEDEGES</t>
  </si>
  <si>
    <t>Realizar la solicitud de inicio de proceso de contratacion para a adquisicion de productos metalicos destinado al mantenimiento de los Centros de Acogida, Institutos y Oficina Central dependientes del SEDEGES</t>
  </si>
  <si>
    <t>Realizar la solicitud de inicio de proceso de contratacion para la adquisicion de materiales electricos destinado a los Centros de Acogida, Institutos y Oficina Central dependientes del SEDEGES</t>
  </si>
  <si>
    <t>Realizar la solicitud del inicio del proceso de contratación del servicio de Consultoria por Producto (Para realizar el revaluo técnico de activos fijos muebles) para la Sección de Activos Fijos.</t>
  </si>
  <si>
    <t>Realizar la solicitud de inicio de proceso de contratacion para  la adquisicion de gas licuado de petroleo destinado a los Centros de Acogida e Institutos dependientes del SEDEGES y de Convenio.</t>
  </si>
  <si>
    <t>Realizar la solicitud de inicio de proceso de contratacion para la adquisición  de  tonners y tintas para Oficina Central, Centros de Acogida e Institutos.</t>
  </si>
  <si>
    <t>Elaborar el inventario fisico y valorado de los alimentos secos, material de escritorio, limpieza, electrico, gas y otros</t>
  </si>
  <si>
    <t>Realizar la solicitud de adquisicion de Artes Graficas (hojas membretadas) para los centros, institutos y oficina central de SEDEGES</t>
  </si>
  <si>
    <t>Realizar la solicitud de inicio de proeso de contratacion para la adquisicion de productos minerales no metalicos y plasticos para los Centros de Acogida, Institutos y Oficina Central dependientes del SEDEGES</t>
  </si>
  <si>
    <t>Realizar la solicitud de inicio de proceso de contratacion de Consultor Individual de Linea, Abogado para la Seccion de Activos Fijos del SEDEGES</t>
  </si>
  <si>
    <t>Realizar el seguimiento, registro y control de donaciones de activos fijos a oficina central, Centros e Institutos dependientes del SEDEGES</t>
  </si>
  <si>
    <t>Realizar el seguimiento a los procesos que se efectuara en el GADLP para la contratación de Empresas Consultoras para la ejecución del Proyecto de Preinversión.</t>
  </si>
  <si>
    <t>12 Informes de seguimiento realizados a Programas recurrentes y no recurrentes.</t>
  </si>
  <si>
    <t>Realizar la solicitud de equipamiento e implementos de seguridad para los Centros de Acogida e Institutos que administra el Servicio Departamental  de Gestión Social.</t>
  </si>
  <si>
    <t>1 Solicitud de inicio de proceso de contratación de adquisición de mobiliario, equipos de computación, otra maquinaria y equipo realizada.</t>
  </si>
  <si>
    <t>Realizar la solicitud de adquisición para el equipamiento y renovación de mobiliario de equipos de computación, otra maquinaria y equipos para Centros de Acogida, Institutos y Oficina Central dependientes del SEDEGES.</t>
  </si>
  <si>
    <t>1 Solicitud de inicio de proceso de contratación de equipamiento e implementos de seguridad realizada.</t>
  </si>
  <si>
    <t>Realizar Feria  en conmemoración al "Dia Internacional Contra la Trata y Trafico de Personas".</t>
  </si>
  <si>
    <t>10 talleres de prevencion ejecutados</t>
  </si>
  <si>
    <t>10 talleres de capacitación realizados</t>
  </si>
  <si>
    <t>140 Seguimientos y/o informes psicologicos realizados.</t>
  </si>
  <si>
    <t>5 Talleres de capacitacion y sensibilizacion ejecutados.</t>
  </si>
  <si>
    <t>140 Seguimientos y/o informes sociales elaborados.</t>
  </si>
  <si>
    <t>1 Solicitud efectuadas.</t>
  </si>
  <si>
    <t xml:space="preserve">Realizar la solicitud de inicio de proceso de adquisicion de: 
* Equipo de Computación e impresora </t>
  </si>
  <si>
    <t>12 solicitudes de pago de gas domiciliario realizados.</t>
  </si>
  <si>
    <t>500  intervencion en trabajo social (seguimiento, visita domiciliaria, coordinación, entrevistas) realizadas
480  intervenciones en psicologia   (Terapioas individuales, grupales, familiares, seguimientos) realizadas
396 intervenciones en pedagogia ( Apoyo pedagogico, coordinaciones, seguimientos) realizadas    
450 intervenciones medicas ( Coordinaciones, evaluaciones , seguimientos y otros) realizadas</t>
  </si>
  <si>
    <t xml:space="preserve">480 intervencion en trabajo social (seguimiento, coordinación, entrevistas) realizadas
410 intervenciones en psicologia   (Terapias individuales, grupales, familiares, seguimientos) realizadas
460 intervenciones en pedagogia ( Apoyo pedagogico, coordinaciones, seguimientos)realizadas   
600 ntervenciones en salud ( coordinaciones, seguimientos) realizadas       </t>
  </si>
  <si>
    <t xml:space="preserve"> Programa Defensa y Protección de la Mujer</t>
  </si>
  <si>
    <t>3360 atenciones en consulta  efectuadas:
* 1800 atenciones en consulta  IDAI
* 120 atenciones en consulta  IRI
* 240 atenciones en consulta  IEB
* 960 atenciones en consulta Kallutaka
* 240 atenciones en consulta Yanacachi</t>
  </si>
  <si>
    <t>4 evaluaciones nutricionales realizadas a la población beneficiaria.</t>
  </si>
  <si>
    <t>Realizar la solicitud de adquisición de:
* Libros manuales y revistas para los beneficiarios de los Centros e Institutos de administración directa del SEDEGES.</t>
  </si>
  <si>
    <t>Realizar la solicitud de adquisición  de:
* Utiles educacionales  culturales y de capacitación (material escolar) para los beneficiarios de los Centros e Institutos de Administración directa del SEDEGES.</t>
  </si>
  <si>
    <t>Realizar la solicitud de adquisición de:
* Material deportivo, recreativo para los beneficiarios de los Centros e Institutos  de Administración directa del SEDEGES.</t>
  </si>
  <si>
    <t>Efectuar la solicitud de adquisición de:
* Hilos, lanas, telas para los beneficiarios de los Centros e Institutos de administración directa del SEDEGES.</t>
  </si>
  <si>
    <t>Validar información de seguimiento a la implementación y desarrollo de las Fichas de Seguimiento Pedagogico en los Centros de Acogida de Administración del SEDEGES.</t>
  </si>
  <si>
    <t xml:space="preserve">23 acogimientos realizados promedio/mes en los Centros de Atención a Niñez y Adolescencia dependientes de la Unidad de Administración de Centros del SEDEGES. </t>
  </si>
  <si>
    <t>Realizar la atención a traves del seguimiento y verificación de la intervención y acciones del área de Trabajo Social en beneficio de la población en situacion de vulnerabilidad,  acogidos en los Centros de Atención a Niñez y Adolescencia  dependientes de la Unidad de Administración de Centros.</t>
  </si>
  <si>
    <t>Efectuar los acogimientos  por orden judicial y otros de la población en situación de riesgo y protección en Centros de Atención a Niñez y Adolescencia  dependientes del SEDEGES</t>
  </si>
  <si>
    <t xml:space="preserve">Efectuar el registro de egresos de la población atendida en los Centros de Atención a Niñez y Adolescencia dependientes de la Unidad de Administración de Centros del SEDEGES. </t>
  </si>
  <si>
    <t>Realizar la atención a traves del seguimiento y verificación de la intervención de las acciones del área de Psicología en beneficio de la población acogida en los Centros de Atención a Niñez y Adolescencia  de la Unidad de Administración de Centros del SEDEGES.
- Intervención Terapeutica: Individual, Grupal y Familiar 
- Seguimiento a las acciones de área.
- Informes psicologicos.</t>
  </si>
  <si>
    <t xml:space="preserve">20 egresos realizados promedio/mes de la  población de los Centros de Atención a Niñez y Adolescencia dependientes de la Unidad de Administración de Centros del SEDEGES. 
</t>
  </si>
  <si>
    <t>Realizar atenciones en medicina general y consultas anexas realizadas a requerimiento de la población beneficiaria de los Centros de Atención a Niñez y Adolescencia dependientes de la Unidad de Administración de Centros del SEDEGES.</t>
  </si>
  <si>
    <t>Efectuar el registro de egresos de la población atendida en los Centros de Atención a  Personas Adultas Mayores dependientes de la Unidad de Administración de Centros del SEDEGES.</t>
  </si>
  <si>
    <t xml:space="preserve">10 egresos promedio/mes realizados de la población en los Centros de Atención a  Personas Adultas Mayores.
</t>
  </si>
  <si>
    <t xml:space="preserve">220 beneficiarios promedio/ mes recibieron atención integral en los Centros  de Atención a Niñez y Adolescencia . 
</t>
  </si>
  <si>
    <t xml:space="preserve">220 personas beneficiadas  promedio/mes  en los Centros de atención a Niñez y Adolescencia dependientes de la Unidad de Administración de Centros del SEDEGES. </t>
  </si>
  <si>
    <t xml:space="preserve">2400 acciones realizadas en el área psicologica en beneficio de las personas acogidas en los Centros de atención a Niñez y Adolescencia  dependientes de la Unidad de Administración de Centros del SEDEGES. </t>
  </si>
  <si>
    <t>600 atenciones en medicina general y especialidad  promedio/mes en los Centros de Atención a Niñez y Adolescencia realizadas.</t>
  </si>
  <si>
    <t xml:space="preserve">60 beneficiarios promedio/ mes recibieron atención en los Centros de Acogida de Adultas Mayores 
</t>
  </si>
  <si>
    <t>60 personas adultas mayores beneficiadas  promedio/mes en los Centros dependientes de la Unidad de Administración de Centros del SEDEGES.</t>
  </si>
  <si>
    <t>1200 atenciones en el área psicologica en beneficio de las personas acogidas en los Centros de Atención a  Personas Adultas Mayores efectuadas.</t>
  </si>
  <si>
    <t>100 atenciones en medicina general y especialidad  promedio/mes en los Centros  de atención a  personas adultas mayores realizadas.</t>
  </si>
  <si>
    <t>Realizar la supervisión a Centros  de Acogida de Atención a Mujeres y sus dependientes victimas de violencia. Centros que son de Administración directa del  SEDEGES.</t>
  </si>
  <si>
    <t>40 beneficiados promedio/ mes reciben atención integral en los Centros de Administración directa de atención a mujeres y dependientes victimas de violencia.</t>
  </si>
  <si>
    <t>40 personas beneficiadas  promedio/mes en los Centros de Administración directa de atención a mujeres y sus dependientes.</t>
  </si>
  <si>
    <t>800 acciones del área psicologica en los Centros de Administración directa de atención a mujeres y sus dependientes.</t>
  </si>
  <si>
    <t>2  Solicitudes de contratacion efectuadas.</t>
  </si>
  <si>
    <t>1  Material de difusion elaborado.</t>
  </si>
  <si>
    <t>94  supervisiones y seguimientos a Centros de Atencion Integral realizados.</t>
  </si>
  <si>
    <t>11 cursos de capacitación realizados 
2 monitoreso realizados</t>
  </si>
  <si>
    <t>1 Solicitud de adquisición de Licencias Sofware Test CUIDA, realizado..</t>
  </si>
  <si>
    <t>Realizar la Auditoria Especial  sobre el cumplimiento del control y conciliación de los datos liquidados en las planillas salariales y los registros individuales de cada servidor público, gestión 2020</t>
  </si>
  <si>
    <t>2 Informes de auditoría especial  realizados</t>
  </si>
  <si>
    <t>2  formularios de denuncias realizados.</t>
  </si>
  <si>
    <t>2 audiencias de rendicion publicas ejecutadas.</t>
  </si>
  <si>
    <t>4 Talleres de capacitacion realizados.</t>
  </si>
  <si>
    <t xml:space="preserve">12 informes consolidados de seguimiento a las operaciones programadas en el POA 2021 elaborados. </t>
  </si>
  <si>
    <t>12 reportes realizados del seguimiento a la ejecucion presupuestaria</t>
  </si>
  <si>
    <t xml:space="preserve">2 Solicitud de contratación efectuadas
</t>
  </si>
  <si>
    <t>11 solicitudes de pago de haberes realizados
11 solicitudes de pago de refrigerios realizados.</t>
  </si>
  <si>
    <t>1 Solicitud de contratación de mantenimiento y reparacion de maquinaria y equipos elaborado.</t>
  </si>
  <si>
    <t>1 Solicitud de inicio de proceso de contratación de servicios para enmurallado o enmallado realizado.</t>
  </si>
  <si>
    <t>12 informes de pago de 14  Centros Acogidas e Institutos y oficina central realizados.</t>
  </si>
  <si>
    <t>2 Planes Anuales de Cuotas de Caja elaborados
* Servicios Personales
* Pogramas y/o proyectos</t>
  </si>
  <si>
    <t>11  Reportes de Ingresos elaborados</t>
  </si>
  <si>
    <t>11 Reportes de venta de timbres elaborados.</t>
  </si>
  <si>
    <t>10 reportes mensuales del sistema seguimiento y monitoreo informático realizados.</t>
  </si>
  <si>
    <t>3 Realizar solicitud de contratacion de consultores en linea ejecutadas:
1 Trabajadora Social
1 Psicologo(a)
1 Facilitadora de Mecanismos de Justicia Restaurativa</t>
  </si>
  <si>
    <t xml:space="preserve">3  Solicitudes de Adquisiciones efectuadas :
* Material de Escritorio y oficina 
* Papel                                                                                                      
* Material de limpieza                                                                                                                                                                                                                                                                                         </t>
  </si>
  <si>
    <t>1 Solicitud de adquisicion de maquina fotocopiadora realizada.</t>
  </si>
  <si>
    <t xml:space="preserve"> 50 registros de ingresos nuevos efectuados.</t>
  </si>
  <si>
    <t>300 Informes: 70 Informes Psicologicos y Sociales, 230 Informes Integrales (Inicial,Trimestral, Final y/o a requerimiento) elaborados.</t>
  </si>
  <si>
    <t>864 Intervenciones: 675 Intervenciones Individuales, 185 Intervenciones Familiares y 4 Intervenciones grupales realizadas.</t>
  </si>
  <si>
    <t>300 seguimientos de los Planes, medidas socioeducativas,salidas alternativas y de remision realizados.</t>
  </si>
  <si>
    <t>200 Intervenciones sociales realizadas.</t>
  </si>
  <si>
    <t>50 Informes finales de aplicación de Mecanismos de Justicia Restaurativa elaborados.</t>
  </si>
  <si>
    <t xml:space="preserve">1 Solicitud efectuada, de:
* Equipo de Computacion
* Mobiliario y enseres </t>
  </si>
  <si>
    <t xml:space="preserve">Realizar la solicitud de inicio de procesos de adquisición, de:
* Equipo de computacion 
* Mobiliario y enseres </t>
  </si>
  <si>
    <t>Realizar la solicitud de adquisicion de Material de Escritorio y Oficina, Papel y de Limpieza</t>
  </si>
  <si>
    <t>1 Solicitud de adquisiciones realizada, de:
* Material de Escritorio y oficina 
* Papel
* Limpieza</t>
  </si>
  <si>
    <t xml:space="preserve">Brindar atencion terapeutica individual y familiar para fortalecer los vinculos afectivos con los familiares y promover la reintegracion social del adolescente </t>
  </si>
  <si>
    <t xml:space="preserve">
20 intervenciones realizadas: 
10 Sensibilizaciones a traves de los TICS
10 Talleres de capacitacion  
</t>
  </si>
  <si>
    <t xml:space="preserve">10 Talleres efectuados. </t>
  </si>
  <si>
    <t>Realizar psicoterapias individuales y familiares en Cámara Gesell y/o Terapia en Línea, a víctimas de Violencia Sexual y sus familias.</t>
  </si>
  <si>
    <t>Realizar psicoterapias individuales y familiares en Terapia Móvil y/o Terapia en Linea, a niñas, niños y adolescentes víctimas de Violencia Sexual y sus Familias.</t>
  </si>
  <si>
    <t>200 personas beneficiadas con atención psicoterapeutica.</t>
  </si>
  <si>
    <t>152 personas beneficiadas con atención psicoterapeutica.</t>
  </si>
  <si>
    <t xml:space="preserve">1000 Niñas, niños y adolescentes recibieron capacitacion. </t>
  </si>
  <si>
    <t>200 Madres, padres de familia, profesores y autoridades comunitarias capacitados.</t>
  </si>
  <si>
    <t xml:space="preserve">500 Niñas y niños  recibieron capacitación.     </t>
  </si>
  <si>
    <t xml:space="preserve">1200 Adolescentes capacitados.    </t>
  </si>
  <si>
    <t>300 Madres, padres de familia, profesores y autoridades comunitarias capacitados.</t>
  </si>
  <si>
    <t xml:space="preserve">1  solicitud realizada de impresión 
1 solicitud realizada  de artes graficas 
</t>
  </si>
  <si>
    <t>1 solicitud efectuada material de escritorio y oficina y papel.
1  solicitud efectuada de utiles educacionales.
1  solicitud efectuada de material de limpieza
1 solicitud efectuada de utencilios de cocina
1 solicitud efectuada de utiles y material electrico
1 solicitud efectuada de confecciones textiles</t>
  </si>
  <si>
    <t>11 solicitudes de pago de haberes realizadas.
11 solicitudes de pago de  refrigerios realizadas.
11 solicitudes de pago de viaticos  realizadas.</t>
  </si>
  <si>
    <t xml:space="preserve">Realizar la solicitud de:                                                       
* Pago de hornarios de consultorias de linea                              
* Pago de refrigerio de los consultores de linea                          </t>
  </si>
  <si>
    <r>
      <t xml:space="preserve">Realizar la solicitud de adquisicion y/o contratacion de: Papel, Utiles o Material de Escritorio y Oficina, Material de Limpieza Servicios de Imprenta y Fotocopias. </t>
    </r>
    <r>
      <rPr>
        <sz val="10"/>
        <color rgb="FF006600"/>
        <rFont val="Arial"/>
        <family val="2"/>
      </rPr>
      <t xml:space="preserve">   </t>
    </r>
    <r>
      <rPr>
        <sz val="10"/>
        <color rgb="FFFF0000"/>
        <rFont val="Arial"/>
        <family val="2"/>
      </rPr>
      <t xml:space="preserve"> </t>
    </r>
    <r>
      <rPr>
        <sz val="10"/>
        <rFont val="Arial"/>
        <family val="2"/>
      </rPr>
      <t xml:space="preserve">                                                                             </t>
    </r>
  </si>
  <si>
    <t>1 solicitud efectuada de M aterial de escritorio, oficina y papel.
1 solicitud efectuada de Material pedagogico y recreativo
1 solicitud efectuada de Material de limpieza.</t>
  </si>
  <si>
    <t>10 videos educacionales de fisioterapia realizados.</t>
  </si>
  <si>
    <t>Realizar difusion de los servicios del centro en las provincias del Departamento de La Paz</t>
  </si>
  <si>
    <t>Realizar la atencion en acogida transitoria a la poblacion de adulto mayor en especial los que llegan de las provincias del Dpto de La Paz</t>
  </si>
  <si>
    <r>
      <t xml:space="preserve">LÍNEA BASE 
</t>
    </r>
    <r>
      <rPr>
        <b/>
        <sz val="9"/>
        <rFont val="Arial Narrow"/>
        <family val="2"/>
      </rPr>
      <t>(AL 30/06/2020)</t>
    </r>
  </si>
  <si>
    <t>180 personas acogidas con algun tipo de discapacidad reciben atención integral  en Centros  e Institutos dependientes del SEDEGES.
3908 personas externas y acogidas con algun tipo de discapacidad reciben atención  medica  en Centros  e Institutos dependientes del SEDEGES.</t>
  </si>
  <si>
    <t xml:space="preserve">330 niñas, niños, adolescentes, jóvenes, mujeres y  personas adultas mayores / atendidos integralmente en Centros, de Acogida, de Reintegracion y transitorios  dependientes del SEDEGES.
</t>
  </si>
  <si>
    <t>330 niños, niñas, adolescentes, jòvenes, mujeres y personas adultas mayores beneficiarios de los Centros, de acogida, transitorios, de Reintegración Social de administración directa del SEDEGES.</t>
  </si>
  <si>
    <t>400 niños, niñas, adolescentes, jóvenes, mujeres y personas adultas mayores beneficiados en los Centros, de Acogida y de Reintegración Social de administración directa.</t>
  </si>
  <si>
    <r>
      <t>N°</t>
    </r>
    <r>
      <rPr>
        <sz val="10"/>
        <color rgb="FFFF0000"/>
        <rFont val="Arial"/>
        <family val="2"/>
      </rPr>
      <t xml:space="preserve"> </t>
    </r>
    <r>
      <rPr>
        <sz val="10"/>
        <rFont val="Arial"/>
        <family val="2"/>
      </rPr>
      <t>de adultos mayores atendidos</t>
    </r>
  </si>
  <si>
    <t>Nº de beneficiarias mujeres.</t>
  </si>
  <si>
    <t>Nota 
de
Atencion</t>
  </si>
  <si>
    <t xml:space="preserve">nota de Solictud </t>
  </si>
  <si>
    <t>Comprobante 
C-31 SIGMA</t>
  </si>
  <si>
    <t>Comprobante 
C-31 SIGEP</t>
  </si>
  <si>
    <t>Notas de Atencion</t>
  </si>
  <si>
    <t>Nota de Atencion</t>
  </si>
  <si>
    <t>Instructivo</t>
  </si>
  <si>
    <t>Formularios
y Informe</t>
  </si>
  <si>
    <t xml:space="preserve">Instructivo 
y
Informe de  cronograma </t>
  </si>
  <si>
    <t>Notas de Arencion y Planilla</t>
  </si>
  <si>
    <t xml:space="preserve">Instructivo y Planilla de Asistencia </t>
  </si>
  <si>
    <t>Realizar  procesos de contratacion de Servicios de Consultorias de Linea, para Area de Recursos Humanos.</t>
  </si>
  <si>
    <t>3 Procesos de Contratacion de Servicios de Consultorias de Linea, realizados.</t>
  </si>
  <si>
    <t xml:space="preserve">Realizar  procesos de contratacion de Servicios de Imprenta para Seccion de Kardex </t>
  </si>
  <si>
    <t>2 de  procesos de contratacion de Servicios de Imprenta realizados.</t>
  </si>
  <si>
    <t xml:space="preserve">Elaborar  planilla de  Sueldos y Salarios, Asignaciones Familiares y Pago de Vacaciones para el personal </t>
  </si>
  <si>
    <t>40 (cuarenta) planilla de  Sueldos y Salarios, Asignaciones Familiares y Pago de Vacaciones elaborados .</t>
  </si>
  <si>
    <t>Elaborar planilla de  Pago de Honorarios de Profesionales mediante Sistema SIGEP, Para consultores de Linea de programas dependientes de SEDEGES.</t>
  </si>
  <si>
    <t>12 (doce) de planilla de  Pago de Honorarios de Profesionales elaborados mediante Sistema SIGEP.</t>
  </si>
  <si>
    <t>Elaborar  Planilla de Pago de Refrigerio  para personal con ITEM y Consultores de Linea dependientes de SEDEGES.</t>
  </si>
  <si>
    <t>90 (noventa) Planilla de Pago de Refrigerio elaborados para personal con Item y Consultores de Linea.</t>
  </si>
  <si>
    <t>Remitir Planillas consolidado de personal de planta, mediante  Sistema Virtual de Tramites  OTV,  a  Ministerio de Trabajo.</t>
  </si>
  <si>
    <t>12 (doce) Planillas consolidado de personal de planta, remitidos mediante  Sistema Virtual de Tramites  OTV,  a  Ministerio de Trabajo.</t>
  </si>
  <si>
    <t>Elaborar Instructivo para presentar Plan Operativo Anual POAIs de los  Servidores  Publicos  de  Planta en gestion 2021</t>
  </si>
  <si>
    <t>1 (un) de Instructivo elaborado para presentar el Plan Operativo Anual POAIs.</t>
  </si>
  <si>
    <t>Elaborar Instructivo para actualizar los Files Personales de los Servidores Publicos dependiente de  SEDEGES, en gestion 2021</t>
  </si>
  <si>
    <t>1 (Un) de Instructivo elaborado para actualizar los Files Personales de los Servidores Publicos.</t>
  </si>
  <si>
    <t>Elaborar Instructivo para realizar Evaluacion de Desempeño de los Servidores Publicos dependientes de SEDEGES.</t>
  </si>
  <si>
    <t>1 (un) Instructivo elaborado para realizar Evaluacion de Desempeño.</t>
  </si>
  <si>
    <t>Realizar  Supervisiónes y control en los Centros e Institutos y programas dependientes del SEDEGES.</t>
  </si>
  <si>
    <t>13 (trece) Supervisiónes y control realizados en los Centros e Institutos y programas .</t>
  </si>
  <si>
    <t>Realizar Instructivo para presentar  "Cronograma de Vacaciones"  de los/as Servidores Publicos dependientes de SEDEGES.</t>
  </si>
  <si>
    <t>1(un) Instructivo realizado para presentar  "Cronograma de Vacaciones" .</t>
  </si>
  <si>
    <t>Remitir Planilla por  Bajas Medicas por: Incapacidad Temporal y Enfermedad Comun ante Caja Nacional de Salud de los Servidores Publicos dependientes de SEDEGES.</t>
  </si>
  <si>
    <t>Realizar cursos de capacitacion  para los Servidores Públicos de Oficina Central, Centros de Acogida e Institutos del SEDEGES.</t>
  </si>
  <si>
    <t>7 (siete)  cursos de capacitacion realizados para los Servidores Públicos.</t>
  </si>
  <si>
    <t>Unidad Administrativa Financiera 
Area de Recursos Humanos.</t>
  </si>
  <si>
    <t>Unidad Administrativa Financiera 
Area de Recursos Humanos.
Seccion de Kardex</t>
  </si>
  <si>
    <t>Unidad Administrativa Financiera 
Area de Recursos Humanos.
Seccion Planillas</t>
  </si>
  <si>
    <t xml:space="preserve">Unidad Administrativa Financiera 
Area de Recursos Humanos.
Seccion de Control Personal
</t>
  </si>
  <si>
    <t>Unidad Administrativa Financiera 
Area de Recursos Humanos.
Seccion de Control Personal</t>
  </si>
  <si>
    <t>11 (once) Planilla por  Bajas Medicas por: Incapacidad Temporal y Enfermedad Comun remetidos ante Caja Nacional de Salud.</t>
  </si>
  <si>
    <t>Unidad Administrativa Financiera 
Area de Recursos Humanos.
Seccion de Capacitacion</t>
  </si>
  <si>
    <t>3.7.2.1.178</t>
  </si>
  <si>
    <t>3.7.2.1.179</t>
  </si>
  <si>
    <t>3.7.2.1.180</t>
  </si>
  <si>
    <t>3.7.2.1.181</t>
  </si>
  <si>
    <t>3.7.2.1.182</t>
  </si>
  <si>
    <t>3.7.2.1.183</t>
  </si>
  <si>
    <t>3.7.2.1.184</t>
  </si>
  <si>
    <t>3.7.2.1.185</t>
  </si>
  <si>
    <t>3.7.2.1.186</t>
  </si>
  <si>
    <t>3.7.2.1.187</t>
  </si>
  <si>
    <t>3.7.2.1.188</t>
  </si>
  <si>
    <t>3.7.2.1.189</t>
  </si>
  <si>
    <t>3.7.2.1.190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</si>
</sst>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 #,##0.00_ ;_ * \-#,##0.00_ ;_ * &quot;-&quot;??_ ;_ @_ "/>
    <numFmt numFmtId="168" formatCode="#,##0.00_ ;[Red]\-#,##0.00\ "/>
    <numFmt numFmtId="169" formatCode="_([$€-2]* #,##0.00_);_([$€-2]* \(#,##0.00\);_([$€-2]* &quot;-&quot;??_)"/>
    <numFmt numFmtId="170" formatCode="[$-F800]dddd\,\ mmmm\ dd\,\ yyyy"/>
    <numFmt numFmtId="171" formatCode="_(* #,##0_);_(* \(#,##0\);_(* &quot;-&quot;??_);_(@_)"/>
    <numFmt numFmtId="172" formatCode="_ [$€]\ * #,##0.00_ ;_ [$€]\ * \-#,##0.00_ ;_ [$€]\ * &quot;-&quot;??_ ;_ @_ "/>
    <numFmt numFmtId="173" formatCode="0.0%"/>
    <numFmt numFmtId="174" formatCode="_ * #,##0_ ;_ * \-#,##0_ ;_ * &quot;-&quot;??_ ;_ @_ "/>
    <numFmt numFmtId="175" formatCode="#,##0.0"/>
    <numFmt numFmtId="176" formatCode="0.0"/>
    <numFmt numFmtId="177" formatCode="#,##0.000"/>
    <numFmt numFmtId="178" formatCode="_(* #,##0.0_);_(* \(#,##0.0\);_(* &quot;-&quot;??_);_(@_)"/>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b/>
      <sz val="6"/>
      <name val="Arial"/>
      <family val="2"/>
    </font>
    <font>
      <b/>
      <sz val="5"/>
      <name val="Arial"/>
      <family val="2"/>
    </font>
    <font>
      <sz val="6"/>
      <name val="Arial"/>
      <family val="2"/>
    </font>
    <font>
      <sz val="8"/>
      <name val="Arial"/>
      <family val="2"/>
    </font>
    <font>
      <sz val="7"/>
      <name val="Arial"/>
      <family val="2"/>
    </font>
    <font>
      <sz val="10"/>
      <name val="Arial"/>
      <family val="2"/>
    </font>
    <font>
      <sz val="9"/>
      <name val="Arial"/>
      <family val="2"/>
    </font>
    <font>
      <sz val="8"/>
      <name val="Arial"/>
      <family val="2"/>
    </font>
    <font>
      <i/>
      <sz val="10"/>
      <name val="Arial"/>
      <family val="2"/>
    </font>
    <font>
      <sz val="10"/>
      <name val="Arial"/>
      <family val="2"/>
    </font>
    <font>
      <sz val="11"/>
      <color indexed="8"/>
      <name val="Calibri"/>
      <family val="2"/>
    </font>
    <font>
      <sz val="10"/>
      <name val="Arial"/>
      <family val="2"/>
    </font>
    <font>
      <sz val="8"/>
      <name val="Arial"/>
      <family val="2"/>
    </font>
    <font>
      <b/>
      <sz val="11"/>
      <name val="Arial Narrow"/>
      <family val="2"/>
    </font>
    <font>
      <b/>
      <sz val="10"/>
      <name val="Arial Narrow"/>
      <family val="2"/>
    </font>
    <font>
      <sz val="10"/>
      <name val="Arial Narrow"/>
      <family val="2"/>
    </font>
    <font>
      <sz val="9"/>
      <name val="Arial Narrow"/>
      <family val="2"/>
    </font>
    <font>
      <b/>
      <sz val="8"/>
      <name val="Arial Narrow"/>
      <family val="2"/>
    </font>
    <font>
      <sz val="8"/>
      <name val="Arial Narrow"/>
      <family val="2"/>
    </font>
    <font>
      <b/>
      <sz val="7"/>
      <name val="Arial Narrow"/>
      <family val="2"/>
    </font>
    <font>
      <b/>
      <sz val="6"/>
      <name val="Arial Narrow"/>
      <family val="2"/>
    </font>
    <font>
      <sz val="7"/>
      <name val="Arial Narrow"/>
      <family val="2"/>
    </font>
    <font>
      <sz val="6"/>
      <name val="Arial Narrow"/>
      <family val="2"/>
    </font>
    <font>
      <b/>
      <sz val="14"/>
      <name val="Arial Narrow"/>
      <family val="2"/>
    </font>
    <font>
      <b/>
      <sz val="12"/>
      <name val="Arial Narrow"/>
      <family val="2"/>
    </font>
    <font>
      <b/>
      <sz val="4"/>
      <name val="Arial Narrow"/>
      <family val="2"/>
    </font>
    <font>
      <b/>
      <sz val="9"/>
      <name val="Arial Narrow"/>
      <family val="2"/>
    </font>
    <font>
      <b/>
      <u/>
      <sz val="7"/>
      <color indexed="56"/>
      <name val="Arial Narrow"/>
      <family val="2"/>
    </font>
    <font>
      <u/>
      <sz val="7"/>
      <color indexed="56"/>
      <name val="Arial Narrow"/>
      <family val="2"/>
    </font>
    <font>
      <u/>
      <sz val="7"/>
      <name val="Arial Narrow"/>
      <family val="2"/>
    </font>
    <font>
      <b/>
      <i/>
      <u/>
      <sz val="7"/>
      <color indexed="56"/>
      <name val="Arial Narrow"/>
      <family val="2"/>
    </font>
    <font>
      <sz val="7"/>
      <color indexed="56"/>
      <name val="Arial Narrow"/>
      <family val="2"/>
    </font>
    <font>
      <b/>
      <sz val="7"/>
      <color indexed="56"/>
      <name val="Arial Narrow"/>
      <family val="2"/>
    </font>
    <font>
      <i/>
      <u/>
      <sz val="7"/>
      <color indexed="56"/>
      <name val="Arial Narrow"/>
      <family val="2"/>
    </font>
    <font>
      <i/>
      <sz val="7"/>
      <color indexed="56"/>
      <name val="Arial Narrow"/>
      <family val="2"/>
    </font>
    <font>
      <i/>
      <sz val="7"/>
      <name val="Arial Narrow"/>
      <family val="2"/>
    </font>
    <font>
      <b/>
      <u/>
      <sz val="7"/>
      <name val="Arial Narrow"/>
      <family val="2"/>
    </font>
    <font>
      <sz val="7"/>
      <color indexed="8"/>
      <name val="Arial Narrow"/>
      <family val="2"/>
    </font>
    <font>
      <i/>
      <u/>
      <sz val="7"/>
      <name val="Arial Narrow"/>
      <family val="2"/>
    </font>
    <font>
      <b/>
      <i/>
      <u/>
      <sz val="7"/>
      <name val="Arial Narrow"/>
      <family val="2"/>
    </font>
    <font>
      <sz val="8"/>
      <color theme="1"/>
      <name val="Arial Narrow"/>
      <family val="2"/>
    </font>
    <font>
      <b/>
      <sz val="10"/>
      <color theme="0"/>
      <name val="Arial Narrow"/>
      <family val="2"/>
    </font>
    <font>
      <sz val="10"/>
      <color theme="0"/>
      <name val="Arial Narrow"/>
      <family val="2"/>
    </font>
    <font>
      <sz val="11"/>
      <name val="Arial"/>
      <family val="2"/>
    </font>
    <font>
      <sz val="10"/>
      <color rgb="FF000000"/>
      <name val="Arial"/>
      <family val="2"/>
    </font>
    <font>
      <b/>
      <u/>
      <sz val="10"/>
      <name val="Arial Narrow"/>
      <family val="2"/>
    </font>
    <font>
      <sz val="7"/>
      <color theme="1"/>
      <name val="Arial"/>
      <family val="2"/>
    </font>
    <font>
      <sz val="5"/>
      <name val="Arial Narrow"/>
      <family val="2"/>
    </font>
    <font>
      <sz val="8"/>
      <color theme="1"/>
      <name val="Arial"/>
      <family val="2"/>
    </font>
    <font>
      <sz val="10"/>
      <color theme="1"/>
      <name val="Arial Narrow"/>
      <family val="2"/>
    </font>
    <font>
      <sz val="10"/>
      <color theme="1"/>
      <name val="Arial"/>
      <family val="2"/>
    </font>
    <font>
      <b/>
      <sz val="9"/>
      <name val="Arial"/>
      <family val="2"/>
    </font>
    <font>
      <sz val="10"/>
      <color indexed="10"/>
      <name val="Arial"/>
      <family val="2"/>
    </font>
    <font>
      <b/>
      <sz val="10"/>
      <name val="Arial"/>
      <family val="2"/>
    </font>
    <font>
      <b/>
      <sz val="7"/>
      <name val="Arial"/>
      <family val="2"/>
    </font>
    <font>
      <b/>
      <sz val="8"/>
      <name val="Calibri"/>
      <family val="2"/>
      <scheme val="minor"/>
    </font>
    <font>
      <sz val="10"/>
      <color rgb="FFFF0000"/>
      <name val="Arial"/>
      <family val="2"/>
    </font>
    <font>
      <sz val="10"/>
      <color rgb="FF7030A0"/>
      <name val="Arial"/>
      <family val="2"/>
    </font>
    <font>
      <sz val="10"/>
      <color rgb="FF006600"/>
      <name val="Arial"/>
      <family val="2"/>
    </font>
    <font>
      <b/>
      <sz val="10"/>
      <color theme="1"/>
      <name val="Arial"/>
      <family val="2"/>
    </font>
    <font>
      <sz val="4"/>
      <name val="Arial"/>
      <family val="2"/>
    </font>
    <font>
      <b/>
      <sz val="9"/>
      <color indexed="81"/>
      <name val="Tahoma"/>
      <family val="2"/>
    </font>
    <font>
      <sz val="9"/>
      <color indexed="81"/>
      <name val="Tahoma"/>
      <family val="2"/>
    </font>
    <font>
      <u/>
      <sz val="10"/>
      <color theme="5"/>
      <name val="Arial"/>
      <family val="2"/>
    </font>
    <font>
      <u/>
      <sz val="10"/>
      <name val="Arial"/>
      <family val="2"/>
    </font>
    <font>
      <b/>
      <sz val="12"/>
      <name val="Arial"/>
      <family val="2"/>
    </font>
    <font>
      <b/>
      <sz val="14"/>
      <name val="Arial"/>
      <family val="2"/>
    </font>
    <font>
      <b/>
      <sz val="10"/>
      <color rgb="FFFF0000"/>
      <name val="Arial"/>
      <family val="2"/>
    </font>
    <font>
      <sz val="10"/>
      <color rgb="FFC00000"/>
      <name val="Arial"/>
      <family val="2"/>
    </font>
    <font>
      <b/>
      <sz val="10"/>
      <color rgb="FFC00000"/>
      <name val="Arial"/>
      <family val="2"/>
    </font>
    <font>
      <sz val="10"/>
      <color theme="5"/>
      <name val="Arial"/>
      <family val="2"/>
    </font>
    <font>
      <sz val="9"/>
      <color theme="1"/>
      <name val="Arial"/>
      <family val="2"/>
    </font>
    <font>
      <sz val="10"/>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17"/>
        <bgColor indexed="64"/>
      </patternFill>
    </fill>
    <fill>
      <patternFill patternType="solid">
        <fgColor theme="0"/>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FF99"/>
        <bgColor indexed="64"/>
      </patternFill>
    </fill>
    <fill>
      <patternFill patternType="solid">
        <fgColor rgb="FFFFFF00"/>
        <bgColor indexed="64"/>
      </patternFill>
    </fill>
    <fill>
      <patternFill patternType="solid">
        <fgColor rgb="FF8CBF0D"/>
        <bgColor indexed="64"/>
      </patternFill>
    </fill>
    <fill>
      <patternFill patternType="solid">
        <fgColor theme="6" tint="0.59999389629810485"/>
        <bgColor indexed="64"/>
      </patternFill>
    </fill>
    <fill>
      <patternFill patternType="solid">
        <fgColor rgb="FFFFFFFF"/>
        <bgColor indexed="64"/>
      </patternFill>
    </fill>
    <fill>
      <patternFill patternType="solid">
        <fgColor rgb="FFCC9900"/>
        <bgColor indexed="64"/>
      </patternFill>
    </fill>
    <fill>
      <patternFill patternType="solid">
        <fgColor theme="9" tint="-0.249977111117893"/>
        <bgColor indexed="64"/>
      </patternFill>
    </fill>
    <fill>
      <patternFill patternType="solid">
        <fgColor rgb="FFFFC00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double">
        <color indexed="64"/>
      </left>
      <right/>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8"/>
      </left>
      <right/>
      <top style="medium">
        <color indexed="64"/>
      </top>
      <bottom style="medium">
        <color indexed="8"/>
      </bottom>
      <diagonal/>
    </border>
    <border>
      <left style="medium">
        <color indexed="64"/>
      </left>
      <right/>
      <top style="medium">
        <color indexed="64"/>
      </top>
      <bottom style="medium">
        <color indexed="8"/>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thin">
        <color indexed="64"/>
      </bottom>
      <diagonal/>
    </border>
    <border>
      <left/>
      <right style="medium">
        <color indexed="64"/>
      </right>
      <top/>
      <bottom/>
      <diagonal/>
    </border>
    <border>
      <left style="double">
        <color indexed="64"/>
      </left>
      <right/>
      <top style="double">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top/>
      <bottom/>
      <diagonal/>
    </border>
    <border>
      <left style="medium">
        <color indexed="8"/>
      </left>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s>
  <cellStyleXfs count="2290">
    <xf numFmtId="0" fontId="0" fillId="0" borderId="0"/>
    <xf numFmtId="169" fontId="22" fillId="0" borderId="0" applyFont="0" applyFill="0" applyBorder="0" applyAlignment="0" applyProtection="0"/>
    <xf numFmtId="166" fontId="2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8" fillId="0" borderId="0" applyFont="0" applyFill="0" applyBorder="0" applyAlignment="0" applyProtection="0"/>
    <xf numFmtId="167" fontId="11" fillId="0" borderId="0" applyFont="0" applyFill="0" applyBorder="0" applyAlignment="0" applyProtection="0"/>
    <xf numFmtId="165" fontId="1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0" fontId="10" fillId="0" borderId="0"/>
    <xf numFmtId="0" fontId="9" fillId="0" borderId="0"/>
    <xf numFmtId="0" fontId="8" fillId="0" borderId="0"/>
    <xf numFmtId="166"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0" fontId="11" fillId="0" borderId="0"/>
    <xf numFmtId="9" fontId="11" fillId="0" borderId="0" applyFont="0" applyFill="0" applyBorder="0" applyAlignment="0" applyProtection="0"/>
    <xf numFmtId="0" fontId="11" fillId="0" borderId="0" applyFont="0" applyFill="0" applyBorder="0" applyAlignment="0" applyProtection="0"/>
    <xf numFmtId="166" fontId="8" fillId="0" borderId="0" applyFont="0" applyFill="0" applyBorder="0" applyAlignment="0" applyProtection="0"/>
    <xf numFmtId="172"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3" fontId="23"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65" fontId="23" fillId="0" borderId="0" applyFont="0" applyFill="0" applyBorder="0" applyAlignment="0" applyProtection="0"/>
    <xf numFmtId="17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2" fontId="8" fillId="0" borderId="0" applyFont="0" applyFill="0" applyBorder="0" applyAlignment="0" applyProtection="0"/>
    <xf numFmtId="165" fontId="23" fillId="0" borderId="0" applyFont="0" applyFill="0" applyBorder="0" applyAlignment="0" applyProtection="0"/>
    <xf numFmtId="43" fontId="8" fillId="0" borderId="0" applyFont="0" applyFill="0" applyBorder="0" applyAlignment="0" applyProtection="0"/>
    <xf numFmtId="165" fontId="11" fillId="0" borderId="0" applyFont="0" applyFill="0" applyBorder="0" applyAlignment="0" applyProtection="0"/>
    <xf numFmtId="0" fontId="11" fillId="0" borderId="0" applyFont="0" applyFill="0" applyBorder="0" applyAlignment="0" applyProtection="0"/>
    <xf numFmtId="173" fontId="23"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173" fontId="23" fillId="0" borderId="0" applyFont="0" applyFill="0" applyBorder="0" applyAlignment="0" applyProtection="0"/>
    <xf numFmtId="167" fontId="11" fillId="0" borderId="0" applyFont="0" applyFill="0" applyBorder="0" applyAlignment="0" applyProtection="0"/>
    <xf numFmtId="165" fontId="23" fillId="0" borderId="0" applyFont="0" applyFill="0" applyBorder="0" applyAlignment="0" applyProtection="0"/>
    <xf numFmtId="0" fontId="23" fillId="0" borderId="0" applyFont="0" applyFill="0" applyBorder="0" applyAlignment="0" applyProtection="0"/>
    <xf numFmtId="167" fontId="11" fillId="0" borderId="0" applyFont="0" applyFill="0" applyBorder="0" applyAlignment="0" applyProtection="0"/>
    <xf numFmtId="165"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2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5" fontId="23" fillId="0" borderId="0" applyFont="0" applyFill="0" applyBorder="0" applyAlignment="0" applyProtection="0"/>
    <xf numFmtId="165" fontId="2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11"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9" fontId="23" fillId="0" borderId="0" applyFont="0" applyFill="0" applyBorder="0" applyAlignment="0" applyProtection="0"/>
    <xf numFmtId="9" fontId="23" fillId="0" borderId="0" applyFont="0" applyFill="0" applyBorder="0" applyAlignment="0" applyProtection="0"/>
    <xf numFmtId="0" fontId="11" fillId="0" borderId="0"/>
    <xf numFmtId="0" fontId="6" fillId="0" borderId="0"/>
    <xf numFmtId="0" fontId="5" fillId="0" borderId="0"/>
    <xf numFmtId="9" fontId="4" fillId="0" borderId="0" applyFont="0" applyFill="0" applyBorder="0" applyAlignment="0" applyProtection="0"/>
    <xf numFmtId="166"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1919">
    <xf numFmtId="0" fontId="0" fillId="0" borderId="0" xfId="0"/>
    <xf numFmtId="0" fontId="18" fillId="0" borderId="0" xfId="0" applyFont="1" applyProtection="1"/>
    <xf numFmtId="0" fontId="18" fillId="0" borderId="0" xfId="0" applyFont="1"/>
    <xf numFmtId="0" fontId="15" fillId="0" borderId="0" xfId="0" applyFont="1"/>
    <xf numFmtId="0" fontId="18" fillId="0" borderId="0" xfId="0" applyFont="1" applyAlignment="1" applyProtection="1"/>
    <xf numFmtId="0" fontId="18" fillId="0" borderId="0" xfId="94"/>
    <xf numFmtId="9" fontId="18" fillId="0" borderId="0" xfId="94" applyNumberFormat="1"/>
    <xf numFmtId="0" fontId="16" fillId="0" borderId="0" xfId="94" applyFont="1" applyAlignment="1" applyProtection="1">
      <alignment horizontal="justify" vertical="top" wrapText="1"/>
    </xf>
    <xf numFmtId="0" fontId="18" fillId="0" borderId="0" xfId="94" applyFont="1" applyAlignment="1" applyProtection="1">
      <alignment vertical="top"/>
    </xf>
    <xf numFmtId="0" fontId="12" fillId="3" borderId="44"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0" fontId="16" fillId="0" borderId="0" xfId="94" applyFont="1" applyAlignment="1" applyProtection="1">
      <alignment vertical="top" wrapText="1"/>
    </xf>
    <xf numFmtId="0" fontId="11" fillId="0" borderId="0" xfId="94" applyFont="1" applyAlignment="1" applyProtection="1">
      <alignment vertical="top"/>
    </xf>
    <xf numFmtId="0" fontId="16" fillId="0" borderId="0" xfId="94" applyFont="1" applyAlignment="1" applyProtection="1">
      <alignment horizontal="center" vertical="center" wrapText="1"/>
    </xf>
    <xf numFmtId="0" fontId="18" fillId="0" borderId="0" xfId="94" applyFont="1" applyAlignment="1" applyProtection="1">
      <alignment horizontal="center" vertical="center"/>
    </xf>
    <xf numFmtId="0" fontId="16" fillId="0" borderId="0" xfId="94" applyFont="1" applyAlignment="1" applyProtection="1">
      <alignment horizontal="right" vertical="top" wrapText="1"/>
    </xf>
    <xf numFmtId="0" fontId="18" fillId="0" borderId="0" xfId="94" applyFont="1" applyAlignment="1" applyProtection="1">
      <alignment horizontal="right" vertical="top"/>
    </xf>
    <xf numFmtId="0" fontId="0" fillId="0" borderId="0" xfId="0" applyAlignment="1">
      <alignment horizontal="center" vertical="center"/>
    </xf>
    <xf numFmtId="0" fontId="12" fillId="0" borderId="0" xfId="0" applyFont="1" applyAlignment="1" applyProtection="1">
      <alignment vertical="center"/>
    </xf>
    <xf numFmtId="0" fontId="16" fillId="0" borderId="1" xfId="0" applyFont="1" applyFill="1" applyBorder="1" applyAlignment="1" applyProtection="1">
      <alignment horizontal="center" vertical="center" wrapText="1"/>
      <protection locked="0"/>
    </xf>
    <xf numFmtId="0" fontId="18" fillId="0" borderId="0" xfId="0" applyFont="1" applyAlignment="1" applyProtection="1">
      <alignment horizontal="center"/>
    </xf>
    <xf numFmtId="0" fontId="16" fillId="0" borderId="0" xfId="0" applyFont="1" applyAlignment="1" applyProtection="1">
      <alignment vertical="center"/>
    </xf>
    <xf numFmtId="0" fontId="18" fillId="0" borderId="0" xfId="0" applyFont="1" applyAlignment="1" applyProtection="1">
      <alignment vertical="center"/>
    </xf>
    <xf numFmtId="0" fontId="18" fillId="0" borderId="0" xfId="0" applyFont="1" applyBorder="1" applyAlignment="1" applyProtection="1">
      <alignment horizontal="center"/>
    </xf>
    <xf numFmtId="0" fontId="11" fillId="0" borderId="0" xfId="0" applyFont="1" applyProtection="1"/>
    <xf numFmtId="0" fontId="0" fillId="0" borderId="0" xfId="0" applyAlignment="1">
      <alignment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18" fillId="0" borderId="0" xfId="0" applyFont="1" applyAlignment="1" applyProtection="1">
      <alignment horizontal="left" vertical="center"/>
    </xf>
    <xf numFmtId="0" fontId="12" fillId="4" borderId="1" xfId="0" applyFont="1" applyFill="1" applyBorder="1" applyAlignment="1" applyProtection="1">
      <alignment horizontal="center" vertical="center" wrapText="1"/>
    </xf>
    <xf numFmtId="0" fontId="12" fillId="4" borderId="88"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xf>
    <xf numFmtId="0" fontId="16" fillId="0" borderId="0" xfId="0" applyFont="1" applyAlignment="1" applyProtection="1">
      <alignment vertical="center"/>
      <protection locked="0"/>
    </xf>
    <xf numFmtId="0" fontId="16" fillId="0" borderId="60" xfId="0" applyFont="1" applyBorder="1" applyAlignment="1" applyProtection="1">
      <alignment vertical="center"/>
    </xf>
    <xf numFmtId="0" fontId="0" fillId="0" borderId="0" xfId="0" applyAlignment="1" applyProtection="1">
      <alignment vertical="center"/>
    </xf>
    <xf numFmtId="0" fontId="18" fillId="0" borderId="126" xfId="0" applyFont="1" applyBorder="1" applyAlignment="1" applyProtection="1">
      <alignment vertical="center"/>
    </xf>
    <xf numFmtId="0" fontId="18" fillId="0" borderId="0" xfId="0" applyFont="1" applyBorder="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vertical="center"/>
    </xf>
    <xf numFmtId="0" fontId="17" fillId="0" borderId="0" xfId="0" applyFont="1" applyAlignment="1" applyProtection="1">
      <alignment horizontal="center" vertical="center"/>
    </xf>
    <xf numFmtId="0" fontId="15" fillId="0" borderId="0" xfId="0" applyFont="1" applyAlignment="1" applyProtection="1">
      <alignment horizontal="center" vertical="center"/>
    </xf>
    <xf numFmtId="0" fontId="18" fillId="0" borderId="0" xfId="0" applyFont="1" applyAlignment="1">
      <alignment vertical="center"/>
    </xf>
    <xf numFmtId="0" fontId="16" fillId="0" borderId="0" xfId="0" applyFont="1" applyAlignment="1">
      <alignment horizontal="justify" vertical="center" wrapText="1"/>
    </xf>
    <xf numFmtId="0" fontId="18" fillId="0" borderId="0" xfId="0" applyFont="1" applyAlignment="1">
      <alignment horizontal="center"/>
    </xf>
    <xf numFmtId="0" fontId="21" fillId="0" borderId="0" xfId="0" applyFont="1" applyAlignment="1">
      <alignment vertical="center"/>
    </xf>
    <xf numFmtId="168" fontId="18" fillId="0" borderId="0" xfId="0" applyNumberFormat="1" applyFont="1" applyAlignment="1">
      <alignment vertical="center"/>
    </xf>
    <xf numFmtId="0" fontId="18" fillId="0" borderId="0" xfId="0" applyFont="1" applyAlignment="1">
      <alignment vertical="center" wrapText="1"/>
    </xf>
    <xf numFmtId="0" fontId="16" fillId="0" borderId="0" xfId="212" applyFont="1" applyFill="1" applyBorder="1" applyAlignment="1" applyProtection="1">
      <alignment horizontal="left" vertical="center" wrapText="1"/>
      <protection locked="0"/>
    </xf>
    <xf numFmtId="0" fontId="0" fillId="0" borderId="0" xfId="0" applyFill="1" applyBorder="1" applyAlignment="1">
      <alignment vertical="center"/>
    </xf>
    <xf numFmtId="0" fontId="26" fillId="0" borderId="0" xfId="0" applyFont="1" applyAlignment="1" applyProtection="1">
      <alignment horizontal="center" vertical="center"/>
    </xf>
    <xf numFmtId="0" fontId="30" fillId="0" borderId="0" xfId="0" applyFont="1" applyBorder="1" applyAlignment="1" applyProtection="1">
      <alignment vertical="top"/>
    </xf>
    <xf numFmtId="0" fontId="31" fillId="0" borderId="0" xfId="0" applyFont="1" applyBorder="1" applyAlignment="1" applyProtection="1">
      <alignment horizontal="left" vertical="top" wrapText="1" indent="2"/>
    </xf>
    <xf numFmtId="0" fontId="27" fillId="0" borderId="51" xfId="0" applyFont="1" applyBorder="1" applyAlignment="1" applyProtection="1">
      <alignment vertical="center"/>
    </xf>
    <xf numFmtId="0" fontId="28" fillId="6" borderId="1" xfId="0" applyFont="1" applyFill="1" applyBorder="1" applyAlignment="1">
      <alignment horizontal="center" vertical="center"/>
    </xf>
    <xf numFmtId="0" fontId="28" fillId="2" borderId="0"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28" fillId="0" borderId="62" xfId="0" applyFont="1" applyBorder="1" applyAlignment="1" applyProtection="1">
      <alignment horizontal="left" vertical="center"/>
    </xf>
    <xf numFmtId="0" fontId="28" fillId="0" borderId="55" xfId="0" applyFont="1" applyBorder="1" applyAlignment="1" applyProtection="1">
      <alignment horizontal="left" vertical="center"/>
    </xf>
    <xf numFmtId="0" fontId="28" fillId="0" borderId="57" xfId="0" applyFont="1" applyBorder="1" applyAlignment="1" applyProtection="1">
      <alignment horizontal="left" vertical="center"/>
    </xf>
    <xf numFmtId="0" fontId="27" fillId="0" borderId="51" xfId="0" applyFont="1" applyBorder="1" applyAlignment="1" applyProtection="1">
      <alignment horizontal="center" vertical="center"/>
    </xf>
    <xf numFmtId="0" fontId="28" fillId="0" borderId="79" xfId="0" applyFont="1" applyBorder="1" applyAlignment="1">
      <alignment vertical="center"/>
    </xf>
    <xf numFmtId="0" fontId="28" fillId="0" borderId="80" xfId="0" applyFont="1" applyBorder="1" applyAlignment="1">
      <alignment vertical="center"/>
    </xf>
    <xf numFmtId="0" fontId="28" fillId="0" borderId="81" xfId="0" applyFont="1" applyBorder="1" applyAlignment="1">
      <alignment vertical="center"/>
    </xf>
    <xf numFmtId="0" fontId="28" fillId="0" borderId="0" xfId="0" applyFont="1" applyBorder="1" applyAlignment="1">
      <alignment horizontal="center" vertical="top"/>
    </xf>
    <xf numFmtId="0" fontId="30" fillId="0" borderId="0" xfId="0" applyFont="1" applyAlignment="1" applyProtection="1">
      <alignment vertical="center"/>
    </xf>
    <xf numFmtId="0" fontId="31" fillId="0" borderId="0" xfId="0" applyFont="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left" vertical="center"/>
    </xf>
    <xf numFmtId="0" fontId="28" fillId="0" borderId="0" xfId="0" applyFont="1" applyAlignment="1" applyProtection="1">
      <alignment horizontal="left" vertical="center"/>
    </xf>
    <xf numFmtId="0" fontId="34" fillId="0" borderId="0" xfId="0" applyFont="1" applyAlignment="1" applyProtection="1">
      <alignment vertical="center" wrapText="1"/>
    </xf>
    <xf numFmtId="0" fontId="28" fillId="0" borderId="0" xfId="0" applyFont="1" applyAlignment="1" applyProtection="1">
      <alignment vertical="center" wrapText="1"/>
    </xf>
    <xf numFmtId="0" fontId="35" fillId="0" borderId="0" xfId="0" applyFont="1" applyAlignment="1" applyProtection="1">
      <alignment vertical="center" wrapText="1"/>
    </xf>
    <xf numFmtId="9" fontId="31" fillId="0" borderId="0" xfId="0" applyNumberFormat="1" applyFont="1" applyAlignment="1" applyProtection="1">
      <alignment vertical="center"/>
    </xf>
    <xf numFmtId="9" fontId="31" fillId="0" borderId="0" xfId="0" applyNumberFormat="1" applyFont="1" applyAlignment="1" applyProtection="1">
      <alignment vertical="center" wrapText="1"/>
    </xf>
    <xf numFmtId="0" fontId="31" fillId="0" borderId="0" xfId="0" applyFont="1" applyAlignment="1" applyProtection="1">
      <alignment vertical="center" wrapText="1"/>
    </xf>
    <xf numFmtId="0" fontId="31" fillId="0" borderId="1" xfId="212" applyFont="1" applyFill="1" applyBorder="1" applyAlignment="1" applyProtection="1">
      <alignment horizontal="left" vertical="center" wrapText="1"/>
      <protection locked="0"/>
    </xf>
    <xf numFmtId="0" fontId="28" fillId="0" borderId="0" xfId="0" applyFont="1" applyAlignment="1">
      <alignment vertical="center"/>
    </xf>
    <xf numFmtId="0" fontId="31" fillId="0" borderId="0" xfId="0" applyFont="1" applyAlignment="1">
      <alignment vertical="center"/>
    </xf>
    <xf numFmtId="0" fontId="31" fillId="0" borderId="57" xfId="0" applyFont="1" applyBorder="1" applyAlignment="1">
      <alignment horizontal="left" vertical="center"/>
    </xf>
    <xf numFmtId="0" fontId="32" fillId="0" borderId="0" xfId="0" applyFont="1" applyAlignment="1" applyProtection="1">
      <alignment vertical="top"/>
    </xf>
    <xf numFmtId="0" fontId="32" fillId="0" borderId="0" xfId="0" applyFont="1" applyBorder="1" applyAlignment="1" applyProtection="1"/>
    <xf numFmtId="0" fontId="34" fillId="0" borderId="0" xfId="94" applyFont="1" applyAlignment="1" applyProtection="1">
      <alignment vertical="top"/>
      <protection locked="0"/>
    </xf>
    <xf numFmtId="0" fontId="34" fillId="0" borderId="0" xfId="94" applyFont="1" applyAlignment="1" applyProtection="1">
      <alignment horizontal="right" vertical="top"/>
      <protection locked="0"/>
    </xf>
    <xf numFmtId="0" fontId="34" fillId="0" borderId="0" xfId="94" applyFont="1" applyAlignment="1" applyProtection="1">
      <alignment horizontal="center" vertical="center"/>
      <protection locked="0"/>
    </xf>
    <xf numFmtId="14" fontId="32" fillId="0" borderId="51" xfId="94" applyNumberFormat="1" applyFont="1" applyBorder="1" applyAlignment="1">
      <alignment vertical="center"/>
    </xf>
    <xf numFmtId="0" fontId="43" fillId="0" borderId="7" xfId="94" quotePrefix="1" applyFont="1" applyBorder="1" applyAlignment="1" applyProtection="1">
      <alignment horizontal="center" vertical="top" wrapText="1"/>
    </xf>
    <xf numFmtId="0" fontId="43" fillId="0" borderId="8" xfId="94" applyFont="1" applyBorder="1" applyAlignment="1" applyProtection="1">
      <alignment vertical="top"/>
    </xf>
    <xf numFmtId="0" fontId="44" fillId="0" borderId="8" xfId="94" applyFont="1" applyBorder="1" applyAlignment="1" applyProtection="1">
      <alignment horizontal="left" vertical="top"/>
    </xf>
    <xf numFmtId="4" fontId="44" fillId="0" borderId="8" xfId="94" applyNumberFormat="1" applyFont="1" applyBorder="1" applyAlignment="1" applyProtection="1">
      <alignment horizontal="right" vertical="top"/>
    </xf>
    <xf numFmtId="3" fontId="34" fillId="0" borderId="8" xfId="94" applyNumberFormat="1" applyFont="1" applyBorder="1" applyAlignment="1" applyProtection="1">
      <alignment vertical="top"/>
      <protection locked="0"/>
    </xf>
    <xf numFmtId="3" fontId="44" fillId="0" borderId="8" xfId="94" applyNumberFormat="1" applyFont="1" applyBorder="1" applyAlignment="1" applyProtection="1">
      <alignment horizontal="center" vertical="center"/>
      <protection locked="0"/>
    </xf>
    <xf numFmtId="4" fontId="40" fillId="0" borderId="9" xfId="94" applyNumberFormat="1" applyFont="1" applyBorder="1" applyAlignment="1" applyProtection="1">
      <alignment horizontal="right" vertical="top"/>
    </xf>
    <xf numFmtId="0" fontId="40" fillId="0" borderId="37" xfId="94" quotePrefix="1" applyFont="1" applyBorder="1" applyAlignment="1" applyProtection="1">
      <alignment horizontal="center" vertical="top" wrapText="1"/>
    </xf>
    <xf numFmtId="0" fontId="40" fillId="0" borderId="38" xfId="94" applyFont="1" applyBorder="1" applyAlignment="1" applyProtection="1">
      <alignment vertical="top"/>
    </xf>
    <xf numFmtId="0" fontId="45" fillId="0" borderId="38" xfId="94" applyFont="1" applyBorder="1" applyAlignment="1" applyProtection="1">
      <alignment horizontal="left" vertical="top"/>
    </xf>
    <xf numFmtId="4" fontId="45" fillId="0" borderId="38" xfId="94" applyNumberFormat="1" applyFont="1" applyBorder="1" applyAlignment="1" applyProtection="1">
      <alignment horizontal="right" vertical="top"/>
    </xf>
    <xf numFmtId="3" fontId="32" fillId="0" borderId="38" xfId="94" applyNumberFormat="1" applyFont="1" applyBorder="1" applyAlignment="1" applyProtection="1">
      <alignment vertical="top"/>
      <protection locked="0"/>
    </xf>
    <xf numFmtId="3" fontId="45" fillId="0" borderId="38" xfId="94" applyNumberFormat="1" applyFont="1" applyBorder="1" applyAlignment="1" applyProtection="1">
      <alignment horizontal="center" vertical="center"/>
      <protection locked="0"/>
    </xf>
    <xf numFmtId="4" fontId="40" fillId="0" borderId="39" xfId="94" applyNumberFormat="1" applyFont="1" applyBorder="1" applyAlignment="1" applyProtection="1">
      <alignment horizontal="right" vertical="top"/>
    </xf>
    <xf numFmtId="0" fontId="46" fillId="0" borderId="36" xfId="94" quotePrefix="1" applyFont="1" applyBorder="1" applyAlignment="1" applyProtection="1">
      <alignment horizontal="center" vertical="top" wrapText="1"/>
    </xf>
    <xf numFmtId="0" fontId="46" fillId="0" borderId="33" xfId="94" applyFont="1" applyBorder="1" applyAlignment="1" applyProtection="1">
      <alignment vertical="top"/>
    </xf>
    <xf numFmtId="0" fontId="47" fillId="0" borderId="33" xfId="94" applyFont="1" applyBorder="1" applyAlignment="1" applyProtection="1">
      <alignment horizontal="left" vertical="top"/>
    </xf>
    <xf numFmtId="4" fontId="47" fillId="0" borderId="33" xfId="94" applyNumberFormat="1" applyFont="1" applyBorder="1" applyAlignment="1" applyProtection="1">
      <alignment horizontal="right" vertical="top"/>
    </xf>
    <xf numFmtId="3" fontId="48" fillId="0" borderId="33" xfId="94" applyNumberFormat="1" applyFont="1" applyBorder="1" applyAlignment="1" applyProtection="1">
      <alignment vertical="top"/>
      <protection locked="0"/>
    </xf>
    <xf numFmtId="3" fontId="47" fillId="0" borderId="33" xfId="94" applyNumberFormat="1" applyFont="1" applyBorder="1" applyAlignment="1" applyProtection="1">
      <alignment horizontal="center" vertical="center"/>
      <protection locked="0"/>
    </xf>
    <xf numFmtId="4" fontId="46" fillId="0" borderId="32" xfId="94" applyNumberFormat="1" applyFont="1" applyBorder="1" applyAlignment="1" applyProtection="1">
      <alignment horizontal="right" vertical="top"/>
    </xf>
    <xf numFmtId="0" fontId="42" fillId="0" borderId="2" xfId="94" quotePrefix="1" applyFont="1" applyBorder="1" applyAlignment="1" applyProtection="1">
      <alignment horizontal="center" vertical="top" wrapText="1"/>
    </xf>
    <xf numFmtId="0" fontId="34" fillId="0" borderId="1" xfId="94" applyFont="1" applyBorder="1" applyAlignment="1" applyProtection="1">
      <alignment horizontal="left" vertical="top"/>
    </xf>
    <xf numFmtId="0" fontId="34" fillId="0" borderId="1" xfId="94" applyFont="1" applyBorder="1" applyAlignment="1" applyProtection="1">
      <alignment horizontal="left" vertical="top" wrapText="1"/>
    </xf>
    <xf numFmtId="4" fontId="34" fillId="0" borderId="1" xfId="94" applyNumberFormat="1" applyFont="1" applyBorder="1" applyAlignment="1" applyProtection="1">
      <alignment horizontal="right" vertical="top" wrapText="1"/>
    </xf>
    <xf numFmtId="3" fontId="34" fillId="0" borderId="1" xfId="94" applyNumberFormat="1" applyFont="1" applyBorder="1" applyAlignment="1" applyProtection="1">
      <alignment vertical="top" wrapText="1"/>
      <protection locked="0"/>
    </xf>
    <xf numFmtId="3" fontId="34" fillId="0" borderId="1" xfId="94" applyNumberFormat="1" applyFont="1" applyFill="1" applyBorder="1" applyAlignment="1" applyProtection="1">
      <alignment horizontal="center" vertical="center" wrapText="1"/>
      <protection locked="0"/>
    </xf>
    <xf numFmtId="4" fontId="34" fillId="0" borderId="3" xfId="94" applyNumberFormat="1" applyFont="1" applyBorder="1" applyAlignment="1" applyProtection="1">
      <alignment horizontal="right" vertical="top"/>
    </xf>
    <xf numFmtId="0" fontId="34" fillId="0" borderId="1" xfId="94" applyFont="1" applyFill="1" applyBorder="1" applyAlignment="1" applyProtection="1">
      <alignment horizontal="left" vertical="top"/>
    </xf>
    <xf numFmtId="0" fontId="34" fillId="0" borderId="1" xfId="94" applyFont="1" applyFill="1" applyBorder="1" applyAlignment="1" applyProtection="1">
      <alignment horizontal="left" vertical="top" wrapText="1"/>
    </xf>
    <xf numFmtId="4" fontId="34" fillId="0" borderId="1" xfId="94" applyNumberFormat="1" applyFont="1" applyFill="1" applyBorder="1" applyAlignment="1" applyProtection="1">
      <alignment horizontal="right" vertical="top" wrapText="1"/>
    </xf>
    <xf numFmtId="3" fontId="34" fillId="0" borderId="1" xfId="94" applyNumberFormat="1" applyFont="1" applyFill="1" applyBorder="1" applyAlignment="1" applyProtection="1">
      <alignment vertical="top" wrapText="1"/>
      <protection locked="0"/>
    </xf>
    <xf numFmtId="0" fontId="34" fillId="0" borderId="1" xfId="94" applyFont="1" applyBorder="1" applyAlignment="1" applyProtection="1">
      <alignment vertical="top"/>
    </xf>
    <xf numFmtId="4" fontId="34" fillId="0" borderId="1" xfId="94" applyNumberFormat="1" applyFont="1" applyFill="1" applyBorder="1" applyAlignment="1" applyProtection="1">
      <alignment horizontal="right" vertical="top"/>
      <protection locked="0"/>
    </xf>
    <xf numFmtId="0" fontId="46" fillId="0" borderId="2" xfId="94" quotePrefix="1" applyFont="1" applyBorder="1" applyAlignment="1" applyProtection="1">
      <alignment horizontal="center" vertical="top" wrapText="1"/>
    </xf>
    <xf numFmtId="0" fontId="46" fillId="0" borderId="1" xfId="94" applyFont="1" applyBorder="1" applyAlignment="1" applyProtection="1">
      <alignment vertical="top"/>
    </xf>
    <xf numFmtId="0" fontId="47" fillId="0" borderId="1" xfId="94" applyFont="1" applyBorder="1" applyAlignment="1" applyProtection="1">
      <alignment horizontal="left" vertical="top"/>
    </xf>
    <xf numFmtId="4" fontId="47" fillId="0" borderId="1" xfId="94" applyNumberFormat="1" applyFont="1" applyBorder="1" applyAlignment="1" applyProtection="1">
      <alignment horizontal="right" vertical="top"/>
    </xf>
    <xf numFmtId="3" fontId="48" fillId="0" borderId="1" xfId="94" applyNumberFormat="1" applyFont="1" applyBorder="1" applyAlignment="1" applyProtection="1">
      <alignment vertical="top"/>
      <protection locked="0"/>
    </xf>
    <xf numFmtId="3" fontId="47" fillId="0" borderId="1" xfId="94" applyNumberFormat="1" applyFont="1" applyFill="1" applyBorder="1" applyAlignment="1" applyProtection="1">
      <alignment horizontal="center" vertical="center"/>
      <protection locked="0"/>
    </xf>
    <xf numFmtId="4" fontId="46" fillId="0" borderId="3" xfId="94" applyNumberFormat="1" applyFont="1" applyBorder="1" applyAlignment="1" applyProtection="1">
      <alignment horizontal="right" vertical="top"/>
    </xf>
    <xf numFmtId="0" fontId="32" fillId="0" borderId="1" xfId="94" applyFont="1" applyBorder="1" applyAlignment="1" applyProtection="1">
      <alignment vertical="top"/>
    </xf>
    <xf numFmtId="4" fontId="34" fillId="0" borderId="1" xfId="94" applyNumberFormat="1" applyFont="1" applyBorder="1" applyAlignment="1" applyProtection="1">
      <alignment horizontal="right" vertical="top"/>
    </xf>
    <xf numFmtId="3" fontId="34" fillId="0" borderId="1" xfId="94" applyNumberFormat="1" applyFont="1" applyBorder="1" applyAlignment="1" applyProtection="1">
      <alignment horizontal="center" vertical="center" wrapText="1"/>
      <protection locked="0"/>
    </xf>
    <xf numFmtId="0" fontId="49" fillId="0" borderId="2" xfId="94" quotePrefix="1" applyFont="1" applyBorder="1" applyAlignment="1" applyProtection="1">
      <alignment horizontal="center" vertical="top" wrapText="1"/>
    </xf>
    <xf numFmtId="0" fontId="32" fillId="0" borderId="1" xfId="94" applyFont="1" applyBorder="1" applyAlignment="1" applyProtection="1">
      <alignment horizontal="left" vertical="top" wrapText="1"/>
    </xf>
    <xf numFmtId="4" fontId="32" fillId="0" borderId="1" xfId="94" applyNumberFormat="1" applyFont="1" applyBorder="1" applyAlignment="1" applyProtection="1">
      <alignment horizontal="right" vertical="top"/>
    </xf>
    <xf numFmtId="3" fontId="32" fillId="0" borderId="1" xfId="94" applyNumberFormat="1" applyFont="1" applyBorder="1" applyAlignment="1" applyProtection="1">
      <alignment vertical="top" wrapText="1"/>
      <protection locked="0"/>
    </xf>
    <xf numFmtId="3" fontId="32" fillId="0" borderId="1" xfId="94" applyNumberFormat="1" applyFont="1" applyBorder="1" applyAlignment="1" applyProtection="1">
      <alignment horizontal="center" vertical="center" wrapText="1"/>
      <protection locked="0"/>
    </xf>
    <xf numFmtId="4" fontId="32" fillId="0" borderId="3" xfId="94" applyNumberFormat="1" applyFont="1" applyBorder="1" applyAlignment="1" applyProtection="1">
      <alignment horizontal="right" vertical="top"/>
    </xf>
    <xf numFmtId="0" fontId="32" fillId="0" borderId="1" xfId="94" applyFont="1" applyBorder="1" applyAlignment="1" applyProtection="1">
      <alignment horizontal="left" vertical="top"/>
    </xf>
    <xf numFmtId="0" fontId="34" fillId="0" borderId="4" xfId="94" quotePrefix="1" applyFont="1" applyBorder="1" applyAlignment="1" applyProtection="1">
      <alignment horizontal="center" vertical="top" wrapText="1"/>
    </xf>
    <xf numFmtId="0" fontId="34" fillId="0" borderId="5" xfId="94" applyFont="1" applyBorder="1" applyAlignment="1" applyProtection="1">
      <alignment vertical="top"/>
    </xf>
    <xf numFmtId="0" fontId="34" fillId="0" borderId="5" xfId="94" applyFont="1" applyBorder="1" applyAlignment="1" applyProtection="1">
      <alignment horizontal="left" vertical="top" wrapText="1"/>
    </xf>
    <xf numFmtId="4" fontId="34" fillId="0" borderId="5" xfId="94" applyNumberFormat="1" applyFont="1" applyFill="1" applyBorder="1" applyAlignment="1" applyProtection="1">
      <alignment horizontal="right" vertical="top"/>
    </xf>
    <xf numFmtId="3" fontId="34" fillId="0" borderId="5" xfId="94" applyNumberFormat="1" applyFont="1" applyBorder="1" applyAlignment="1" applyProtection="1">
      <alignment vertical="top" wrapText="1"/>
      <protection locked="0"/>
    </xf>
    <xf numFmtId="3" fontId="34" fillId="0" borderId="5" xfId="94" applyNumberFormat="1" applyFont="1" applyBorder="1" applyAlignment="1" applyProtection="1">
      <alignment horizontal="center" vertical="center" wrapText="1"/>
      <protection locked="0"/>
    </xf>
    <xf numFmtId="4" fontId="34" fillId="0" borderId="14" xfId="94" applyNumberFormat="1" applyFont="1" applyBorder="1" applyAlignment="1" applyProtection="1">
      <alignment horizontal="right" vertical="top"/>
    </xf>
    <xf numFmtId="0" fontId="46" fillId="0" borderId="36" xfId="94" applyFont="1" applyBorder="1" applyAlignment="1" applyProtection="1">
      <alignment horizontal="center" vertical="top" wrapText="1"/>
    </xf>
    <xf numFmtId="0" fontId="44" fillId="0" borderId="2" xfId="94" applyFont="1" applyBorder="1" applyAlignment="1" applyProtection="1">
      <alignment horizontal="center" vertical="top" wrapText="1"/>
    </xf>
    <xf numFmtId="0" fontId="32" fillId="0" borderId="1" xfId="94" applyFont="1" applyBorder="1" applyAlignment="1" applyProtection="1">
      <alignment horizontal="center" vertical="top"/>
    </xf>
    <xf numFmtId="0" fontId="44" fillId="0" borderId="1" xfId="94" applyFont="1" applyBorder="1" applyAlignment="1" applyProtection="1">
      <alignment horizontal="left" vertical="top"/>
    </xf>
    <xf numFmtId="4" fontId="44" fillId="0" borderId="1" xfId="94" applyNumberFormat="1" applyFont="1" applyBorder="1" applyAlignment="1" applyProtection="1">
      <alignment horizontal="right" vertical="top"/>
    </xf>
    <xf numFmtId="3" fontId="34" fillId="0" borderId="1" xfId="94" applyNumberFormat="1" applyFont="1" applyBorder="1" applyAlignment="1" applyProtection="1">
      <alignment vertical="top"/>
      <protection locked="0"/>
    </xf>
    <xf numFmtId="3" fontId="44" fillId="0" borderId="1" xfId="94" applyNumberFormat="1" applyFont="1" applyBorder="1" applyAlignment="1" applyProtection="1">
      <alignment horizontal="center" vertical="center"/>
      <protection locked="0"/>
    </xf>
    <xf numFmtId="4" fontId="44" fillId="0" borderId="3" xfId="94" applyNumberFormat="1" applyFont="1" applyBorder="1" applyAlignment="1" applyProtection="1">
      <alignment horizontal="right" vertical="top"/>
    </xf>
    <xf numFmtId="0" fontId="34" fillId="0" borderId="2" xfId="94" applyFont="1" applyBorder="1" applyAlignment="1" applyProtection="1">
      <alignment horizontal="center" vertical="top" wrapText="1"/>
    </xf>
    <xf numFmtId="3" fontId="34" fillId="0" borderId="1" xfId="94" applyNumberFormat="1" applyFont="1" applyBorder="1" applyAlignment="1" applyProtection="1">
      <alignment horizontal="center" vertical="center"/>
      <protection locked="0"/>
    </xf>
    <xf numFmtId="3" fontId="34" fillId="0" borderId="1" xfId="94" applyNumberFormat="1" applyFont="1" applyFill="1" applyBorder="1" applyAlignment="1" applyProtection="1">
      <alignment horizontal="center" vertical="center"/>
      <protection locked="0"/>
    </xf>
    <xf numFmtId="0" fontId="46" fillId="0" borderId="2" xfId="94" applyFont="1" applyBorder="1" applyAlignment="1" applyProtection="1">
      <alignment horizontal="center" vertical="top" wrapText="1"/>
    </xf>
    <xf numFmtId="3" fontId="47" fillId="0" borderId="1" xfId="94" applyNumberFormat="1" applyFont="1" applyBorder="1" applyAlignment="1" applyProtection="1">
      <alignment horizontal="center" vertical="center"/>
      <protection locked="0"/>
    </xf>
    <xf numFmtId="4" fontId="34" fillId="0" borderId="1" xfId="10" applyNumberFormat="1" applyFont="1" applyBorder="1" applyAlignment="1" applyProtection="1">
      <alignment horizontal="right" vertical="top"/>
    </xf>
    <xf numFmtId="0" fontId="34" fillId="0" borderId="31" xfId="94" quotePrefix="1" applyFont="1" applyBorder="1" applyAlignment="1" applyProtection="1">
      <alignment horizontal="center" vertical="top" wrapText="1"/>
    </xf>
    <xf numFmtId="0" fontId="34" fillId="0" borderId="13" xfId="94" quotePrefix="1" applyFont="1" applyBorder="1" applyAlignment="1" applyProtection="1">
      <alignment vertical="top"/>
    </xf>
    <xf numFmtId="0" fontId="34" fillId="0" borderId="13" xfId="94" applyFont="1" applyBorder="1" applyAlignment="1" applyProtection="1">
      <alignment horizontal="left" vertical="top"/>
    </xf>
    <xf numFmtId="4" fontId="34" fillId="0" borderId="13" xfId="94" applyNumberFormat="1" applyFont="1" applyBorder="1" applyAlignment="1" applyProtection="1">
      <alignment horizontal="right" vertical="top"/>
    </xf>
    <xf numFmtId="3" fontId="34" fillId="0" borderId="13" xfId="94" applyNumberFormat="1" applyFont="1" applyBorder="1" applyAlignment="1" applyProtection="1">
      <alignment vertical="top"/>
      <protection locked="0"/>
    </xf>
    <xf numFmtId="3" fontId="34" fillId="0" borderId="13" xfId="94" applyNumberFormat="1" applyFont="1" applyBorder="1" applyAlignment="1" applyProtection="1">
      <alignment horizontal="center" vertical="center"/>
      <protection locked="0"/>
    </xf>
    <xf numFmtId="0" fontId="41" fillId="0" borderId="36" xfId="94" quotePrefix="1" applyFont="1" applyBorder="1" applyAlignment="1" applyProtection="1">
      <alignment horizontal="center" vertical="top" wrapText="1"/>
    </xf>
    <xf numFmtId="0" fontId="34" fillId="0" borderId="33" xfId="0" applyFont="1" applyBorder="1" applyAlignment="1">
      <alignment vertical="top"/>
    </xf>
    <xf numFmtId="0" fontId="34" fillId="0" borderId="33" xfId="0" applyFont="1" applyBorder="1" applyAlignment="1">
      <alignment horizontal="justify" vertical="top"/>
    </xf>
    <xf numFmtId="4" fontId="34" fillId="0" borderId="33" xfId="94" applyNumberFormat="1" applyFont="1" applyBorder="1" applyAlignment="1" applyProtection="1">
      <alignment horizontal="right" vertical="top"/>
    </xf>
    <xf numFmtId="3" fontId="34" fillId="0" borderId="33" xfId="94" applyNumberFormat="1" applyFont="1" applyBorder="1" applyAlignment="1" applyProtection="1">
      <alignment vertical="top"/>
      <protection locked="0"/>
    </xf>
    <xf numFmtId="3" fontId="34" fillId="0" borderId="33" xfId="94" applyNumberFormat="1" applyFont="1" applyBorder="1" applyAlignment="1" applyProtection="1">
      <alignment horizontal="center" vertical="center"/>
      <protection locked="0"/>
    </xf>
    <xf numFmtId="4" fontId="34" fillId="0" borderId="32" xfId="94" applyNumberFormat="1" applyFont="1" applyBorder="1" applyAlignment="1" applyProtection="1">
      <alignment horizontal="right" vertical="top"/>
    </xf>
    <xf numFmtId="0" fontId="41" fillId="0" borderId="2" xfId="94" quotePrefix="1" applyFont="1" applyBorder="1" applyAlignment="1" applyProtection="1">
      <alignment horizontal="center" vertical="top" wrapText="1"/>
    </xf>
    <xf numFmtId="0" fontId="34" fillId="0" borderId="1" xfId="0" applyFont="1" applyBorder="1" applyAlignment="1">
      <alignment vertical="top"/>
    </xf>
    <xf numFmtId="0" fontId="34" fillId="0" borderId="1" xfId="0" applyFont="1" applyBorder="1" applyAlignment="1">
      <alignment horizontal="justify" vertical="top"/>
    </xf>
    <xf numFmtId="0" fontId="34" fillId="0" borderId="13" xfId="0" applyFont="1" applyBorder="1" applyAlignment="1">
      <alignment horizontal="justify" vertical="top"/>
    </xf>
    <xf numFmtId="0" fontId="34" fillId="0" borderId="36" xfId="94" applyFont="1" applyBorder="1" applyAlignment="1" applyProtection="1">
      <alignment horizontal="center" vertical="top" wrapText="1"/>
    </xf>
    <xf numFmtId="3" fontId="34" fillId="0" borderId="13" xfId="94" applyNumberFormat="1" applyFont="1" applyFill="1" applyBorder="1" applyAlignment="1" applyProtection="1">
      <alignment horizontal="center" vertical="center"/>
      <protection locked="0"/>
    </xf>
    <xf numFmtId="3" fontId="45" fillId="0" borderId="28" xfId="94" applyNumberFormat="1" applyFont="1" applyFill="1" applyBorder="1" applyAlignment="1" applyProtection="1">
      <alignment horizontal="center" vertical="center"/>
      <protection locked="0"/>
    </xf>
    <xf numFmtId="0" fontId="34" fillId="0" borderId="5" xfId="94" quotePrefix="1" applyFont="1" applyBorder="1" applyAlignment="1" applyProtection="1">
      <alignment vertical="top"/>
    </xf>
    <xf numFmtId="0" fontId="34" fillId="0" borderId="5" xfId="94" applyFont="1" applyBorder="1" applyAlignment="1" applyProtection="1">
      <alignment horizontal="left" vertical="top"/>
    </xf>
    <xf numFmtId="4" fontId="34" fillId="0" borderId="5" xfId="94" applyNumberFormat="1" applyFont="1" applyBorder="1" applyAlignment="1" applyProtection="1">
      <alignment horizontal="right" vertical="top"/>
    </xf>
    <xf numFmtId="3" fontId="34" fillId="0" borderId="5" xfId="94" applyNumberFormat="1" applyFont="1" applyBorder="1" applyAlignment="1" applyProtection="1">
      <alignment vertical="top"/>
      <protection locked="0"/>
    </xf>
    <xf numFmtId="3" fontId="34" fillId="0" borderId="5" xfId="94" applyNumberFormat="1" applyFont="1" applyFill="1" applyBorder="1" applyAlignment="1" applyProtection="1">
      <alignment horizontal="center" vertical="center"/>
      <protection locked="0"/>
    </xf>
    <xf numFmtId="4" fontId="34" fillId="0" borderId="6" xfId="94" applyNumberFormat="1" applyFont="1" applyBorder="1" applyAlignment="1" applyProtection="1">
      <alignment horizontal="right" vertical="top"/>
    </xf>
    <xf numFmtId="0" fontId="47" fillId="0" borderId="8" xfId="94" applyFont="1" applyBorder="1" applyAlignment="1" applyProtection="1">
      <alignment horizontal="left" vertical="top"/>
    </xf>
    <xf numFmtId="4" fontId="47" fillId="0" borderId="8" xfId="94" applyNumberFormat="1" applyFont="1" applyBorder="1" applyAlignment="1" applyProtection="1">
      <alignment horizontal="right" vertical="top"/>
    </xf>
    <xf numFmtId="3" fontId="48" fillId="0" borderId="8" xfId="94" applyNumberFormat="1" applyFont="1" applyBorder="1" applyAlignment="1" applyProtection="1">
      <alignment vertical="top"/>
      <protection locked="0"/>
    </xf>
    <xf numFmtId="3" fontId="47" fillId="0" borderId="8" xfId="94" applyNumberFormat="1" applyFont="1" applyFill="1" applyBorder="1" applyAlignment="1" applyProtection="1">
      <alignment horizontal="center" vertical="center"/>
      <protection locked="0"/>
    </xf>
    <xf numFmtId="4" fontId="43" fillId="0" borderId="9" xfId="94" applyNumberFormat="1" applyFont="1" applyBorder="1" applyAlignment="1" applyProtection="1">
      <alignment horizontal="right" vertical="top"/>
    </xf>
    <xf numFmtId="0" fontId="45" fillId="0" borderId="38" xfId="94" applyFont="1" applyBorder="1" applyAlignment="1" applyProtection="1">
      <alignment horizontal="left" vertical="top" wrapText="1"/>
    </xf>
    <xf numFmtId="4" fontId="45" fillId="0" borderId="38" xfId="94" applyNumberFormat="1" applyFont="1" applyFill="1" applyBorder="1" applyAlignment="1" applyProtection="1">
      <alignment horizontal="right" vertical="top" wrapText="1"/>
    </xf>
    <xf numFmtId="3" fontId="32" fillId="0" borderId="38" xfId="94" applyNumberFormat="1" applyFont="1" applyBorder="1" applyAlignment="1" applyProtection="1">
      <alignment vertical="top" wrapText="1"/>
      <protection locked="0"/>
    </xf>
    <xf numFmtId="3" fontId="45" fillId="0" borderId="38" xfId="94" applyNumberFormat="1" applyFont="1" applyFill="1" applyBorder="1" applyAlignment="1" applyProtection="1">
      <alignment horizontal="center" vertical="center" wrapText="1"/>
      <protection locked="0"/>
    </xf>
    <xf numFmtId="4" fontId="40" fillId="0" borderId="39" xfId="94" applyNumberFormat="1" applyFont="1" applyBorder="1" applyAlignment="1" applyProtection="1">
      <alignment horizontal="right" vertical="top" wrapText="1"/>
    </xf>
    <xf numFmtId="0" fontId="41" fillId="0" borderId="36" xfId="94" quotePrefix="1" applyFont="1" applyBorder="1" applyAlignment="1" applyProtection="1">
      <alignment horizontal="justify" vertical="top" wrapText="1"/>
    </xf>
    <xf numFmtId="0" fontId="34" fillId="0" borderId="33" xfId="94" applyFont="1" applyBorder="1" applyAlignment="1">
      <alignment horizontal="justify" vertical="top"/>
    </xf>
    <xf numFmtId="0" fontId="34" fillId="0" borderId="33" xfId="94" applyFont="1" applyBorder="1" applyAlignment="1" applyProtection="1">
      <alignment horizontal="justify" vertical="top"/>
      <protection locked="0"/>
    </xf>
    <xf numFmtId="4" fontId="34" fillId="0" borderId="33" xfId="94" applyNumberFormat="1" applyFont="1" applyFill="1" applyBorder="1" applyAlignment="1" applyProtection="1">
      <alignment horizontal="right" vertical="top"/>
      <protection locked="0"/>
    </xf>
    <xf numFmtId="0" fontId="34" fillId="0" borderId="10" xfId="94" quotePrefix="1" applyFont="1" applyBorder="1" applyAlignment="1" applyProtection="1">
      <alignment horizontal="center" vertical="top" wrapText="1"/>
    </xf>
    <xf numFmtId="0" fontId="34" fillId="0" borderId="11" xfId="94" quotePrefix="1" applyFont="1" applyBorder="1" applyAlignment="1" applyProtection="1">
      <alignment vertical="top"/>
    </xf>
    <xf numFmtId="0" fontId="34" fillId="0" borderId="5" xfId="94" applyFont="1" applyBorder="1" applyAlignment="1" applyProtection="1">
      <alignment horizontal="justify" vertical="top"/>
      <protection locked="0"/>
    </xf>
    <xf numFmtId="4" fontId="34" fillId="0" borderId="5" xfId="94" applyNumberFormat="1" applyFont="1" applyFill="1" applyBorder="1" applyAlignment="1" applyProtection="1">
      <alignment horizontal="right" vertical="top"/>
      <protection locked="0"/>
    </xf>
    <xf numFmtId="3" fontId="34" fillId="0" borderId="5" xfId="94" applyNumberFormat="1" applyFont="1" applyBorder="1" applyAlignment="1" applyProtection="1">
      <alignment horizontal="center" vertical="center"/>
      <protection locked="0"/>
    </xf>
    <xf numFmtId="4" fontId="44" fillId="0" borderId="8" xfId="94" applyNumberFormat="1" applyFont="1" applyFill="1" applyBorder="1" applyAlignment="1" applyProtection="1">
      <alignment horizontal="right" vertical="top"/>
    </xf>
    <xf numFmtId="3" fontId="44" fillId="0" borderId="8" xfId="94" applyNumberFormat="1" applyFont="1" applyFill="1" applyBorder="1" applyAlignment="1" applyProtection="1">
      <alignment horizontal="center" vertical="center"/>
      <protection locked="0"/>
    </xf>
    <xf numFmtId="0" fontId="40" fillId="0" borderId="27" xfId="94" quotePrefix="1" applyFont="1" applyBorder="1" applyAlignment="1" applyProtection="1">
      <alignment horizontal="center" vertical="top" wrapText="1"/>
    </xf>
    <xf numFmtId="0" fontId="40" fillId="0" borderId="28" xfId="94" applyFont="1" applyBorder="1" applyAlignment="1" applyProtection="1">
      <alignment vertical="top"/>
    </xf>
    <xf numFmtId="0" fontId="45" fillId="0" borderId="28" xfId="94" applyFont="1" applyBorder="1" applyAlignment="1" applyProtection="1">
      <alignment horizontal="left" vertical="top" wrapText="1"/>
    </xf>
    <xf numFmtId="4" fontId="45" fillId="0" borderId="28" xfId="94" applyNumberFormat="1" applyFont="1" applyBorder="1" applyAlignment="1" applyProtection="1">
      <alignment horizontal="right" vertical="top" wrapText="1"/>
    </xf>
    <xf numFmtId="3" fontId="32" fillId="0" borderId="28" xfId="94" applyNumberFormat="1" applyFont="1" applyBorder="1" applyAlignment="1" applyProtection="1">
      <alignment vertical="top" wrapText="1"/>
      <protection locked="0"/>
    </xf>
    <xf numFmtId="3" fontId="45" fillId="0" borderId="28" xfId="94" applyNumberFormat="1" applyFont="1" applyFill="1" applyBorder="1" applyAlignment="1" applyProtection="1">
      <alignment horizontal="center" vertical="center" wrapText="1"/>
      <protection locked="0"/>
    </xf>
    <xf numFmtId="4" fontId="40" fillId="0" borderId="29" xfId="94" applyNumberFormat="1" applyFont="1" applyBorder="1" applyAlignment="1" applyProtection="1">
      <alignment horizontal="right" vertical="top" wrapText="1"/>
    </xf>
    <xf numFmtId="0" fontId="46" fillId="0" borderId="34" xfId="94" quotePrefix="1" applyFont="1" applyBorder="1" applyAlignment="1" applyProtection="1">
      <alignment horizontal="center" vertical="top" wrapText="1"/>
    </xf>
    <xf numFmtId="0" fontId="46" fillId="0" borderId="28" xfId="94" applyFont="1" applyBorder="1" applyAlignment="1" applyProtection="1">
      <alignment vertical="top"/>
    </xf>
    <xf numFmtId="0" fontId="47" fillId="0" borderId="28" xfId="94" applyFont="1" applyBorder="1" applyAlignment="1" applyProtection="1">
      <alignment horizontal="left" vertical="top" wrapText="1"/>
    </xf>
    <xf numFmtId="4" fontId="47" fillId="0" borderId="35" xfId="94" applyNumberFormat="1" applyFont="1" applyBorder="1" applyAlignment="1" applyProtection="1">
      <alignment horizontal="right" vertical="top" wrapText="1"/>
    </xf>
    <xf numFmtId="3" fontId="48" fillId="0" borderId="35" xfId="94" applyNumberFormat="1" applyFont="1" applyBorder="1" applyAlignment="1" applyProtection="1">
      <alignment vertical="top" wrapText="1"/>
      <protection locked="0"/>
    </xf>
    <xf numFmtId="3" fontId="47" fillId="0" borderId="35" xfId="94" applyNumberFormat="1" applyFont="1" applyFill="1" applyBorder="1" applyAlignment="1" applyProtection="1">
      <alignment horizontal="center" vertical="center" wrapText="1"/>
      <protection locked="0"/>
    </xf>
    <xf numFmtId="4" fontId="46" fillId="0" borderId="29" xfId="94" applyNumberFormat="1" applyFont="1" applyBorder="1" applyAlignment="1" applyProtection="1">
      <alignment horizontal="right" vertical="top" wrapText="1"/>
    </xf>
    <xf numFmtId="0" fontId="40" fillId="0" borderId="2" xfId="94" quotePrefix="1" applyFont="1" applyBorder="1" applyAlignment="1" applyProtection="1">
      <alignment horizontal="center" vertical="top" wrapText="1"/>
    </xf>
    <xf numFmtId="0" fontId="47" fillId="0" borderId="1" xfId="94" applyFont="1" applyBorder="1" applyAlignment="1" applyProtection="1">
      <alignment horizontal="left" vertical="top" wrapText="1"/>
    </xf>
    <xf numFmtId="4" fontId="47" fillId="0" borderId="1" xfId="94" applyNumberFormat="1" applyFont="1" applyBorder="1" applyAlignment="1" applyProtection="1">
      <alignment horizontal="right" vertical="top" wrapText="1"/>
    </xf>
    <xf numFmtId="3" fontId="48" fillId="0" borderId="1" xfId="94" applyNumberFormat="1" applyFont="1" applyBorder="1" applyAlignment="1" applyProtection="1">
      <alignment vertical="top" wrapText="1"/>
      <protection locked="0"/>
    </xf>
    <xf numFmtId="3" fontId="47" fillId="0" borderId="1" xfId="94" applyNumberFormat="1" applyFont="1" applyFill="1" applyBorder="1" applyAlignment="1" applyProtection="1">
      <alignment horizontal="center" vertical="center" wrapText="1"/>
      <protection locked="0"/>
    </xf>
    <xf numFmtId="4" fontId="46" fillId="0" borderId="3" xfId="94" applyNumberFormat="1" applyFont="1" applyBorder="1" applyAlignment="1" applyProtection="1">
      <alignment horizontal="right" vertical="top" wrapText="1"/>
    </xf>
    <xf numFmtId="0" fontId="34" fillId="0" borderId="30" xfId="94" quotePrefix="1" applyFont="1" applyBorder="1" applyAlignment="1" applyProtection="1">
      <alignment vertical="top"/>
    </xf>
    <xf numFmtId="0" fontId="34" fillId="0" borderId="30" xfId="94" applyFont="1" applyBorder="1" applyAlignment="1" applyProtection="1">
      <alignment horizontal="left" vertical="top"/>
    </xf>
    <xf numFmtId="4" fontId="34" fillId="0" borderId="11" xfId="94" applyNumberFormat="1" applyFont="1" applyBorder="1" applyAlignment="1" applyProtection="1">
      <alignment horizontal="right" vertical="top"/>
    </xf>
    <xf numFmtId="3" fontId="34" fillId="0" borderId="11" xfId="94" applyNumberFormat="1" applyFont="1" applyBorder="1" applyAlignment="1" applyProtection="1">
      <alignment vertical="top"/>
      <protection locked="0"/>
    </xf>
    <xf numFmtId="3" fontId="34" fillId="0" borderId="11" xfId="94" applyNumberFormat="1" applyFont="1" applyFill="1" applyBorder="1" applyAlignment="1" applyProtection="1">
      <alignment horizontal="center" vertical="center"/>
      <protection locked="0"/>
    </xf>
    <xf numFmtId="4" fontId="34" fillId="0" borderId="12" xfId="94" applyNumberFormat="1" applyFont="1" applyBorder="1" applyAlignment="1" applyProtection="1">
      <alignment horizontal="right" vertical="top"/>
    </xf>
    <xf numFmtId="3" fontId="34" fillId="0" borderId="8" xfId="94" applyNumberFormat="1" applyFont="1" applyBorder="1" applyAlignment="1" applyProtection="1">
      <alignment vertical="top"/>
    </xf>
    <xf numFmtId="3" fontId="44" fillId="0" borderId="8" xfId="94" applyNumberFormat="1" applyFont="1" applyFill="1" applyBorder="1" applyAlignment="1" applyProtection="1">
      <alignment horizontal="center" vertical="center"/>
    </xf>
    <xf numFmtId="4" fontId="45" fillId="0" borderId="38" xfId="94" applyNumberFormat="1" applyFont="1" applyBorder="1" applyAlignment="1" applyProtection="1">
      <alignment horizontal="right" vertical="top" wrapText="1"/>
    </xf>
    <xf numFmtId="0" fontId="46" fillId="0" borderId="5" xfId="94" applyFont="1" applyBorder="1" applyAlignment="1" applyProtection="1">
      <alignment vertical="top"/>
    </xf>
    <xf numFmtId="0" fontId="47" fillId="0" borderId="5" xfId="94" applyFont="1" applyBorder="1" applyAlignment="1" applyProtection="1">
      <alignment horizontal="left" vertical="top" wrapText="1"/>
    </xf>
    <xf numFmtId="4" fontId="47" fillId="0" borderId="33" xfId="94" applyNumberFormat="1" applyFont="1" applyFill="1" applyBorder="1" applyAlignment="1" applyProtection="1">
      <alignment horizontal="right" vertical="top" wrapText="1"/>
    </xf>
    <xf numFmtId="3" fontId="48" fillId="0" borderId="33" xfId="94" applyNumberFormat="1" applyFont="1" applyFill="1" applyBorder="1" applyAlignment="1" applyProtection="1">
      <alignment vertical="top" wrapText="1"/>
      <protection locked="0"/>
    </xf>
    <xf numFmtId="3" fontId="47" fillId="0" borderId="33" xfId="94" applyNumberFormat="1" applyFont="1" applyFill="1" applyBorder="1" applyAlignment="1" applyProtection="1">
      <alignment horizontal="center" vertical="center" wrapText="1"/>
      <protection locked="0"/>
    </xf>
    <xf numFmtId="4" fontId="46" fillId="0" borderId="6" xfId="94" applyNumberFormat="1" applyFont="1" applyBorder="1" applyAlignment="1" applyProtection="1">
      <alignment horizontal="right" vertical="top" wrapText="1"/>
    </xf>
    <xf numFmtId="3" fontId="34" fillId="0" borderId="1" xfId="94" applyNumberFormat="1" applyFont="1" applyFill="1" applyBorder="1" applyAlignment="1" applyProtection="1">
      <alignment vertical="top"/>
      <protection locked="0"/>
    </xf>
    <xf numFmtId="4" fontId="47" fillId="0" borderId="1" xfId="94" applyNumberFormat="1" applyFont="1" applyFill="1" applyBorder="1" applyAlignment="1" applyProtection="1">
      <alignment horizontal="right" vertical="top" wrapText="1"/>
    </xf>
    <xf numFmtId="3" fontId="48" fillId="0" borderId="1" xfId="94" applyNumberFormat="1" applyFont="1" applyFill="1" applyBorder="1" applyAlignment="1" applyProtection="1">
      <alignment vertical="top" wrapText="1"/>
      <protection locked="0"/>
    </xf>
    <xf numFmtId="0" fontId="34" fillId="0" borderId="13" xfId="0" applyFont="1" applyBorder="1" applyAlignment="1">
      <alignment vertical="top"/>
    </xf>
    <xf numFmtId="4" fontId="34" fillId="0" borderId="13" xfId="94" applyNumberFormat="1" applyFont="1" applyFill="1" applyBorder="1" applyAlignment="1" applyProtection="1">
      <alignment horizontal="right" vertical="top"/>
      <protection locked="0"/>
    </xf>
    <xf numFmtId="3" fontId="34" fillId="0" borderId="13" xfId="94" applyNumberFormat="1" applyFont="1" applyFill="1" applyBorder="1" applyAlignment="1" applyProtection="1">
      <alignment vertical="top"/>
      <protection locked="0"/>
    </xf>
    <xf numFmtId="0" fontId="41" fillId="0" borderId="4" xfId="94" quotePrefix="1" applyFont="1" applyBorder="1" applyAlignment="1" applyProtection="1">
      <alignment horizontal="center" vertical="top" wrapText="1"/>
    </xf>
    <xf numFmtId="4" fontId="34" fillId="2" borderId="5" xfId="94" applyNumberFormat="1" applyFont="1" applyFill="1" applyBorder="1" applyAlignment="1" applyProtection="1">
      <alignment horizontal="right" vertical="top"/>
      <protection locked="0"/>
    </xf>
    <xf numFmtId="4" fontId="34" fillId="2" borderId="13" xfId="94" applyNumberFormat="1" applyFont="1" applyFill="1" applyBorder="1" applyAlignment="1" applyProtection="1">
      <alignment horizontal="right" vertical="top"/>
      <protection locked="0"/>
    </xf>
    <xf numFmtId="0" fontId="34" fillId="0" borderId="33" xfId="0" applyFont="1" applyBorder="1" applyAlignment="1">
      <alignment vertical="top" wrapText="1"/>
    </xf>
    <xf numFmtId="4" fontId="34" fillId="2" borderId="33" xfId="94" applyNumberFormat="1" applyFont="1" applyFill="1" applyBorder="1" applyAlignment="1" applyProtection="1">
      <alignment horizontal="right" vertical="top"/>
      <protection locked="0"/>
    </xf>
    <xf numFmtId="3" fontId="34" fillId="0" borderId="33" xfId="94" applyNumberFormat="1" applyFont="1" applyBorder="1" applyAlignment="1" applyProtection="1">
      <alignment vertical="top" wrapText="1"/>
      <protection locked="0"/>
    </xf>
    <xf numFmtId="0" fontId="34" fillId="0" borderId="1" xfId="0" applyFont="1" applyBorder="1" applyAlignment="1">
      <alignment vertical="top" wrapText="1"/>
    </xf>
    <xf numFmtId="4" fontId="34" fillId="2" borderId="1" xfId="94" applyNumberFormat="1" applyFont="1" applyFill="1" applyBorder="1" applyAlignment="1" applyProtection="1">
      <alignment horizontal="right" vertical="top" wrapText="1"/>
    </xf>
    <xf numFmtId="4" fontId="34" fillId="2" borderId="1" xfId="94" applyNumberFormat="1" applyFont="1" applyFill="1" applyBorder="1" applyAlignment="1" applyProtection="1">
      <alignment horizontal="right" vertical="top"/>
      <protection locked="0"/>
    </xf>
    <xf numFmtId="0" fontId="34" fillId="0" borderId="31" xfId="94" applyFont="1" applyBorder="1" applyAlignment="1" applyProtection="1">
      <alignment horizontal="center" vertical="top" wrapText="1"/>
    </xf>
    <xf numFmtId="0" fontId="50" fillId="2" borderId="1" xfId="0" applyFont="1" applyFill="1" applyBorder="1" applyAlignment="1">
      <alignment horizontal="right" vertical="center" wrapText="1"/>
    </xf>
    <xf numFmtId="0" fontId="34" fillId="2" borderId="1" xfId="0" applyFont="1" applyFill="1" applyBorder="1" applyAlignment="1">
      <alignment horizontal="right" vertical="center" wrapText="1"/>
    </xf>
    <xf numFmtId="0" fontId="34" fillId="0" borderId="5" xfId="0" applyFont="1" applyBorder="1" applyAlignment="1">
      <alignment vertical="top" wrapText="1"/>
    </xf>
    <xf numFmtId="3" fontId="34" fillId="0" borderId="13" xfId="94" applyNumberFormat="1" applyFont="1" applyBorder="1" applyAlignment="1" applyProtection="1">
      <alignment vertical="top" wrapText="1"/>
      <protection locked="0"/>
    </xf>
    <xf numFmtId="3" fontId="34" fillId="0" borderId="13" xfId="94" applyNumberFormat="1" applyFont="1" applyFill="1" applyBorder="1" applyAlignment="1" applyProtection="1">
      <alignment horizontal="center" vertical="center" wrapText="1"/>
      <protection locked="0"/>
    </xf>
    <xf numFmtId="0" fontId="34" fillId="0" borderId="5" xfId="94" applyFont="1" applyBorder="1" applyAlignment="1">
      <alignment horizontal="justify" vertical="top"/>
    </xf>
    <xf numFmtId="0" fontId="34" fillId="0" borderId="2" xfId="94" quotePrefix="1" applyFont="1" applyBorder="1" applyAlignment="1" applyProtection="1">
      <alignment horizontal="center" vertical="top" wrapText="1"/>
    </xf>
    <xf numFmtId="0" fontId="34" fillId="0" borderId="1" xfId="94" quotePrefix="1" applyFont="1" applyBorder="1" applyAlignment="1" applyProtection="1">
      <alignment vertical="top"/>
    </xf>
    <xf numFmtId="0" fontId="34" fillId="0" borderId="11" xfId="94" applyFont="1" applyBorder="1" applyAlignment="1" applyProtection="1">
      <alignment horizontal="left" vertical="top"/>
    </xf>
    <xf numFmtId="4" fontId="34" fillId="2" borderId="11" xfId="94" applyNumberFormat="1" applyFont="1" applyFill="1" applyBorder="1" applyAlignment="1" applyProtection="1">
      <alignment horizontal="right" vertical="top"/>
      <protection locked="0"/>
    </xf>
    <xf numFmtId="4" fontId="47" fillId="0" borderId="33" xfId="94" applyNumberFormat="1" applyFont="1" applyBorder="1" applyAlignment="1" applyProtection="1">
      <alignment horizontal="right" vertical="top" wrapText="1"/>
    </xf>
    <xf numFmtId="3" fontId="48" fillId="0" borderId="33" xfId="94" applyNumberFormat="1" applyFont="1" applyBorder="1" applyAlignment="1" applyProtection="1">
      <alignment vertical="top" wrapText="1"/>
      <protection locked="0"/>
    </xf>
    <xf numFmtId="3" fontId="47" fillId="0" borderId="33" xfId="94" applyNumberFormat="1" applyFont="1" applyBorder="1" applyAlignment="1" applyProtection="1">
      <alignment horizontal="center" vertical="center" wrapText="1"/>
      <protection locked="0"/>
    </xf>
    <xf numFmtId="3" fontId="47" fillId="0" borderId="1" xfId="94" applyNumberFormat="1" applyFont="1" applyBorder="1" applyAlignment="1" applyProtection="1">
      <alignment horizontal="center" vertical="center" wrapText="1"/>
      <protection locked="0"/>
    </xf>
    <xf numFmtId="4" fontId="40" fillId="0" borderId="39" xfId="94" applyNumberFormat="1" applyFont="1" applyFill="1" applyBorder="1" applyAlignment="1" applyProtection="1">
      <alignment horizontal="right" vertical="top" wrapText="1"/>
    </xf>
    <xf numFmtId="4" fontId="46" fillId="0" borderId="6" xfId="94" applyNumberFormat="1" applyFont="1" applyFill="1" applyBorder="1" applyAlignment="1" applyProtection="1">
      <alignment horizontal="right" vertical="top" wrapText="1"/>
    </xf>
    <xf numFmtId="4" fontId="34" fillId="0" borderId="3" xfId="94" applyNumberFormat="1" applyFont="1" applyFill="1" applyBorder="1" applyAlignment="1" applyProtection="1">
      <alignment horizontal="right" vertical="top"/>
    </xf>
    <xf numFmtId="4" fontId="46" fillId="0" borderId="3" xfId="94" applyNumberFormat="1" applyFont="1" applyFill="1" applyBorder="1" applyAlignment="1" applyProtection="1">
      <alignment horizontal="right" vertical="top" wrapText="1"/>
    </xf>
    <xf numFmtId="0" fontId="34" fillId="0" borderId="44" xfId="94" quotePrefix="1" applyFont="1" applyBorder="1" applyAlignment="1" applyProtection="1">
      <alignment horizontal="center" vertical="top" wrapText="1"/>
    </xf>
    <xf numFmtId="0" fontId="34" fillId="0" borderId="45" xfId="94" quotePrefix="1" applyFont="1" applyBorder="1" applyAlignment="1" applyProtection="1">
      <alignment vertical="top"/>
    </xf>
    <xf numFmtId="0" fontId="34" fillId="0" borderId="45" xfId="94" applyFont="1" applyBorder="1" applyAlignment="1" applyProtection="1">
      <alignment horizontal="justify" vertical="top" wrapText="1"/>
    </xf>
    <xf numFmtId="4" fontId="34" fillId="0" borderId="45" xfId="94" applyNumberFormat="1" applyFont="1" applyBorder="1" applyAlignment="1" applyProtection="1">
      <alignment horizontal="right" vertical="top" wrapText="1"/>
    </xf>
    <xf numFmtId="0" fontId="34" fillId="0" borderId="45" xfId="94" applyFont="1" applyBorder="1" applyAlignment="1" applyProtection="1">
      <alignment vertical="top" wrapText="1"/>
      <protection locked="0"/>
    </xf>
    <xf numFmtId="0" fontId="34" fillId="0" borderId="45" xfId="94" applyFont="1" applyBorder="1" applyAlignment="1" applyProtection="1">
      <alignment horizontal="center" vertical="center" wrapText="1"/>
      <protection locked="0"/>
    </xf>
    <xf numFmtId="4" fontId="34" fillId="0" borderId="46" xfId="94" applyNumberFormat="1" applyFont="1" applyBorder="1" applyAlignment="1" applyProtection="1">
      <alignment horizontal="right" vertical="top" wrapText="1"/>
    </xf>
    <xf numFmtId="0" fontId="43" fillId="0" borderId="4" xfId="94" applyFont="1" applyBorder="1" applyAlignment="1" applyProtection="1">
      <alignment horizontal="center" vertical="top" wrapText="1"/>
    </xf>
    <xf numFmtId="0" fontId="43" fillId="0" borderId="5" xfId="94" quotePrefix="1" applyFont="1" applyBorder="1" applyAlignment="1" applyProtection="1">
      <alignment vertical="top"/>
    </xf>
    <xf numFmtId="0" fontId="41" fillId="0" borderId="5" xfId="94" applyFont="1" applyBorder="1" applyAlignment="1" applyProtection="1">
      <alignment horizontal="justify" vertical="top" wrapText="1"/>
    </xf>
    <xf numFmtId="4" fontId="41" fillId="0" borderId="5" xfId="94" applyNumberFormat="1" applyFont="1" applyBorder="1" applyAlignment="1" applyProtection="1">
      <alignment horizontal="right" vertical="top" wrapText="1"/>
    </xf>
    <xf numFmtId="0" fontId="42" fillId="0" borderId="5" xfId="94" applyFont="1" applyBorder="1" applyAlignment="1" applyProtection="1">
      <alignment vertical="top" wrapText="1"/>
      <protection locked="0"/>
    </xf>
    <xf numFmtId="0" fontId="41" fillId="0" borderId="5" xfId="94" applyFont="1" applyBorder="1" applyAlignment="1" applyProtection="1">
      <alignment horizontal="center" vertical="center" wrapText="1"/>
      <protection locked="0"/>
    </xf>
    <xf numFmtId="4" fontId="40" fillId="0" borderId="6" xfId="94" applyNumberFormat="1" applyFont="1" applyBorder="1" applyAlignment="1" applyProtection="1">
      <alignment horizontal="right" vertical="top" wrapText="1"/>
    </xf>
    <xf numFmtId="0" fontId="40" fillId="0" borderId="37" xfId="94" applyFont="1" applyBorder="1" applyAlignment="1" applyProtection="1">
      <alignment horizontal="center" vertical="top" wrapText="1"/>
    </xf>
    <xf numFmtId="0" fontId="40" fillId="0" borderId="38" xfId="94" quotePrefix="1" applyFont="1" applyBorder="1" applyAlignment="1" applyProtection="1">
      <alignment vertical="top"/>
    </xf>
    <xf numFmtId="0" fontId="32" fillId="0" borderId="38" xfId="94" applyFont="1" applyBorder="1" applyAlignment="1" applyProtection="1">
      <alignment horizontal="left" vertical="top" wrapText="1"/>
    </xf>
    <xf numFmtId="4" fontId="32" fillId="0" borderId="38" xfId="94" applyNumberFormat="1" applyFont="1" applyBorder="1" applyAlignment="1" applyProtection="1">
      <alignment horizontal="right" vertical="top" wrapText="1"/>
    </xf>
    <xf numFmtId="3" fontId="32" fillId="0" borderId="38" xfId="94" applyNumberFormat="1" applyFont="1" applyBorder="1" applyAlignment="1" applyProtection="1">
      <alignment horizontal="center" vertical="center" wrapText="1"/>
      <protection locked="0"/>
    </xf>
    <xf numFmtId="4" fontId="47" fillId="0" borderId="5" xfId="94" applyNumberFormat="1" applyFont="1" applyBorder="1" applyAlignment="1" applyProtection="1">
      <alignment horizontal="right" vertical="top" wrapText="1"/>
    </xf>
    <xf numFmtId="4" fontId="46" fillId="0" borderId="32" xfId="94" applyNumberFormat="1" applyFont="1" applyBorder="1" applyAlignment="1" applyProtection="1">
      <alignment horizontal="right" vertical="top" wrapText="1"/>
    </xf>
    <xf numFmtId="0" fontId="40" fillId="0" borderId="2" xfId="94" applyFont="1" applyBorder="1" applyAlignment="1" applyProtection="1">
      <alignment horizontal="center" vertical="top" wrapText="1"/>
    </xf>
    <xf numFmtId="0" fontId="34" fillId="0" borderId="1" xfId="94" applyFont="1" applyBorder="1" applyAlignment="1" applyProtection="1">
      <alignment vertical="top" wrapText="1"/>
    </xf>
    <xf numFmtId="0" fontId="34" fillId="2" borderId="31" xfId="94" quotePrefix="1" applyFont="1" applyFill="1" applyBorder="1" applyAlignment="1" applyProtection="1">
      <alignment horizontal="center" vertical="top" wrapText="1"/>
    </xf>
    <xf numFmtId="0" fontId="34" fillId="2" borderId="13" xfId="94" quotePrefix="1" applyFont="1" applyFill="1" applyBorder="1" applyAlignment="1" applyProtection="1">
      <alignment vertical="top"/>
    </xf>
    <xf numFmtId="0" fontId="34" fillId="2" borderId="13" xfId="94" applyFont="1" applyFill="1" applyBorder="1" applyAlignment="1" applyProtection="1">
      <alignment horizontal="justify" vertical="top" wrapText="1"/>
    </xf>
    <xf numFmtId="4" fontId="34" fillId="2" borderId="13" xfId="94" applyNumberFormat="1" applyFont="1" applyFill="1" applyBorder="1" applyAlignment="1" applyProtection="1">
      <alignment horizontal="right" vertical="top" wrapText="1"/>
    </xf>
    <xf numFmtId="0" fontId="34" fillId="2" borderId="13" xfId="94" applyFont="1" applyFill="1" applyBorder="1" applyAlignment="1" applyProtection="1">
      <alignment vertical="top" wrapText="1"/>
      <protection locked="0"/>
    </xf>
    <xf numFmtId="0" fontId="34" fillId="2" borderId="13" xfId="94" applyFont="1" applyFill="1" applyBorder="1" applyAlignment="1" applyProtection="1">
      <alignment horizontal="center" vertical="center" wrapText="1"/>
      <protection locked="0"/>
    </xf>
    <xf numFmtId="4" fontId="34" fillId="2" borderId="14" xfId="94" applyNumberFormat="1" applyFont="1" applyFill="1" applyBorder="1" applyAlignment="1" applyProtection="1">
      <alignment horizontal="right" vertical="top" wrapText="1"/>
    </xf>
    <xf numFmtId="0" fontId="43" fillId="0" borderId="15" xfId="94" applyFont="1" applyBorder="1" applyAlignment="1" applyProtection="1">
      <alignment horizontal="center" vertical="top" wrapText="1"/>
    </xf>
    <xf numFmtId="0" fontId="43" fillId="0" borderId="16" xfId="94" quotePrefix="1" applyFont="1" applyBorder="1" applyAlignment="1" applyProtection="1">
      <alignment vertical="top"/>
    </xf>
    <xf numFmtId="0" fontId="46" fillId="0" borderId="16" xfId="94" applyFont="1" applyBorder="1" applyAlignment="1" applyProtection="1">
      <alignment horizontal="justify" vertical="top" wrapText="1"/>
    </xf>
    <xf numFmtId="4" fontId="46" fillId="0" borderId="16" xfId="94" applyNumberFormat="1" applyFont="1" applyBorder="1" applyAlignment="1" applyProtection="1">
      <alignment horizontal="right" vertical="top" wrapText="1"/>
    </xf>
    <xf numFmtId="0" fontId="51" fillId="0" borderId="16" xfId="94" applyFont="1" applyBorder="1" applyAlignment="1" applyProtection="1">
      <alignment vertical="top" wrapText="1"/>
      <protection locked="0"/>
    </xf>
    <xf numFmtId="0" fontId="46" fillId="0" borderId="16" xfId="94" applyFont="1" applyBorder="1" applyAlignment="1" applyProtection="1">
      <alignment horizontal="center" vertical="center" wrapText="1"/>
      <protection locked="0"/>
    </xf>
    <xf numFmtId="4" fontId="43" fillId="0" borderId="17" xfId="94" applyNumberFormat="1" applyFont="1" applyBorder="1" applyAlignment="1" applyProtection="1">
      <alignment horizontal="right" vertical="top" wrapText="1"/>
    </xf>
    <xf numFmtId="3" fontId="32" fillId="0" borderId="38" xfId="94" applyNumberFormat="1" applyFont="1" applyFill="1" applyBorder="1" applyAlignment="1" applyProtection="1">
      <alignment vertical="top"/>
      <protection locked="0"/>
    </xf>
    <xf numFmtId="3" fontId="45" fillId="0" borderId="38" xfId="94" applyNumberFormat="1" applyFont="1" applyFill="1" applyBorder="1" applyAlignment="1" applyProtection="1">
      <alignment horizontal="center" vertical="center"/>
      <protection locked="0"/>
    </xf>
    <xf numFmtId="4" fontId="40" fillId="0" borderId="39" xfId="94" applyNumberFormat="1" applyFont="1" applyFill="1" applyBorder="1" applyAlignment="1" applyProtection="1">
      <alignment horizontal="right" vertical="top"/>
    </xf>
    <xf numFmtId="3" fontId="34" fillId="0" borderId="5" xfId="94" applyNumberFormat="1" applyFont="1" applyFill="1" applyBorder="1" applyAlignment="1" applyProtection="1">
      <alignment vertical="top"/>
      <protection locked="0"/>
    </xf>
    <xf numFmtId="4" fontId="34" fillId="0" borderId="6" xfId="94" applyNumberFormat="1" applyFont="1" applyFill="1" applyBorder="1" applyAlignment="1" applyProtection="1">
      <alignment horizontal="right" vertical="top"/>
    </xf>
    <xf numFmtId="4" fontId="34" fillId="0" borderId="1" xfId="94" applyNumberFormat="1" applyFont="1" applyFill="1" applyBorder="1" applyAlignment="1" applyProtection="1">
      <alignment horizontal="right" vertical="top"/>
    </xf>
    <xf numFmtId="0" fontId="34" fillId="0" borderId="1" xfId="94" applyFont="1" applyFill="1" applyBorder="1" applyAlignment="1" applyProtection="1">
      <alignment vertical="top" wrapText="1"/>
      <protection locked="0"/>
    </xf>
    <xf numFmtId="0" fontId="34" fillId="0" borderId="1" xfId="94" applyFont="1" applyFill="1" applyBorder="1" applyAlignment="1" applyProtection="1">
      <alignment horizontal="center" vertical="center" wrapText="1"/>
      <protection locked="0"/>
    </xf>
    <xf numFmtId="0" fontId="34" fillId="0" borderId="5" xfId="94" applyFont="1" applyBorder="1" applyAlignment="1" applyProtection="1">
      <alignment horizontal="justify" vertical="top" wrapText="1"/>
    </xf>
    <xf numFmtId="4" fontId="34" fillId="0" borderId="5" xfId="94" applyNumberFormat="1" applyFont="1" applyFill="1" applyBorder="1" applyAlignment="1" applyProtection="1">
      <alignment horizontal="right" vertical="top" wrapText="1"/>
    </xf>
    <xf numFmtId="0" fontId="34" fillId="0" borderId="5" xfId="94" applyFont="1" applyBorder="1" applyAlignment="1" applyProtection="1">
      <alignment vertical="top" wrapText="1"/>
      <protection locked="0"/>
    </xf>
    <xf numFmtId="0" fontId="34" fillId="0" borderId="5" xfId="94" applyFont="1" applyBorder="1" applyAlignment="1" applyProtection="1">
      <alignment horizontal="center" vertical="center" wrapText="1"/>
      <protection locked="0"/>
    </xf>
    <xf numFmtId="4" fontId="34" fillId="0" borderId="6" xfId="94" applyNumberFormat="1" applyFont="1" applyBorder="1" applyAlignment="1" applyProtection="1">
      <alignment vertical="top"/>
    </xf>
    <xf numFmtId="4" fontId="45" fillId="0" borderId="38" xfId="94" applyNumberFormat="1" applyFont="1" applyFill="1" applyBorder="1" applyAlignment="1" applyProtection="1">
      <alignment horizontal="right" vertical="top"/>
    </xf>
    <xf numFmtId="0" fontId="40" fillId="0" borderId="4" xfId="94" applyFont="1" applyBorder="1" applyAlignment="1" applyProtection="1">
      <alignment horizontal="center" vertical="top" wrapText="1"/>
    </xf>
    <xf numFmtId="0" fontId="34" fillId="0" borderId="33" xfId="94" applyFont="1" applyBorder="1" applyAlignment="1" applyProtection="1">
      <alignment vertical="top"/>
    </xf>
    <xf numFmtId="0" fontId="34" fillId="0" borderId="33" xfId="94" applyFont="1" applyBorder="1" applyAlignment="1" applyProtection="1">
      <alignment horizontal="left" vertical="top"/>
    </xf>
    <xf numFmtId="4" fontId="34" fillId="0" borderId="33" xfId="94" applyNumberFormat="1" applyFont="1" applyFill="1" applyBorder="1" applyAlignment="1" applyProtection="1">
      <alignment horizontal="right" vertical="top"/>
    </xf>
    <xf numFmtId="3" fontId="32" fillId="0" borderId="33" xfId="94" applyNumberFormat="1" applyFont="1" applyBorder="1" applyAlignment="1" applyProtection="1">
      <alignment vertical="top"/>
      <protection locked="0"/>
    </xf>
    <xf numFmtId="3" fontId="45" fillId="0" borderId="33" xfId="94" applyNumberFormat="1" applyFont="1" applyFill="1" applyBorder="1" applyAlignment="1" applyProtection="1">
      <alignment horizontal="center" vertical="center"/>
      <protection locked="0"/>
    </xf>
    <xf numFmtId="3" fontId="32" fillId="0" borderId="1" xfId="94" applyNumberFormat="1" applyFont="1" applyBorder="1" applyAlignment="1" applyProtection="1">
      <alignment vertical="top"/>
      <protection locked="0"/>
    </xf>
    <xf numFmtId="3" fontId="45" fillId="0" borderId="1" xfId="94" applyNumberFormat="1" applyFont="1" applyFill="1" applyBorder="1" applyAlignment="1" applyProtection="1">
      <alignment horizontal="center" vertical="center"/>
      <protection locked="0"/>
    </xf>
    <xf numFmtId="4" fontId="34" fillId="0" borderId="5" xfId="94" applyNumberFormat="1" applyFont="1" applyBorder="1" applyAlignment="1" applyProtection="1">
      <alignment horizontal="right" vertical="top" wrapText="1"/>
    </xf>
    <xf numFmtId="0" fontId="34" fillId="0" borderId="5" xfId="94" applyFont="1" applyFill="1" applyBorder="1" applyAlignment="1" applyProtection="1">
      <alignment horizontal="center" vertical="center" wrapText="1"/>
      <protection locked="0"/>
    </xf>
    <xf numFmtId="4" fontId="34" fillId="0" borderId="6" xfId="94" applyNumberFormat="1" applyFont="1" applyBorder="1" applyAlignment="1" applyProtection="1">
      <alignment horizontal="justify" vertical="top" wrapText="1"/>
    </xf>
    <xf numFmtId="0" fontId="34" fillId="0" borderId="4" xfId="94" applyFont="1" applyBorder="1" applyAlignment="1" applyProtection="1">
      <alignment horizontal="right" vertical="top" wrapText="1"/>
    </xf>
    <xf numFmtId="0" fontId="34" fillId="0" borderId="2" xfId="94" applyFont="1" applyBorder="1" applyAlignment="1" applyProtection="1">
      <alignment horizontal="right" vertical="top" wrapText="1"/>
    </xf>
    <xf numFmtId="0" fontId="43" fillId="0" borderId="15" xfId="94" quotePrefix="1" applyFont="1" applyBorder="1" applyAlignment="1" applyProtection="1">
      <alignment horizontal="center" vertical="top" wrapText="1"/>
    </xf>
    <xf numFmtId="0" fontId="43" fillId="0" borderId="16" xfId="94" applyFont="1" applyBorder="1" applyAlignment="1" applyProtection="1">
      <alignment vertical="top"/>
    </xf>
    <xf numFmtId="0" fontId="43" fillId="0" borderId="16" xfId="94" applyFont="1" applyBorder="1" applyAlignment="1" applyProtection="1">
      <alignment horizontal="justify" vertical="top" wrapText="1"/>
    </xf>
    <xf numFmtId="4" fontId="43" fillId="0" borderId="16" xfId="94" applyNumberFormat="1" applyFont="1" applyBorder="1" applyAlignment="1" applyProtection="1">
      <alignment horizontal="right" vertical="top" wrapText="1"/>
    </xf>
    <xf numFmtId="0" fontId="52" fillId="0" borderId="16" xfId="94" applyFont="1" applyBorder="1" applyAlignment="1" applyProtection="1">
      <alignment vertical="top" wrapText="1"/>
      <protection locked="0"/>
    </xf>
    <xf numFmtId="0" fontId="43" fillId="0" borderId="16" xfId="94" applyFont="1" applyFill="1" applyBorder="1" applyAlignment="1" applyProtection="1">
      <alignment horizontal="center" vertical="center" wrapText="1"/>
      <protection locked="0"/>
    </xf>
    <xf numFmtId="0" fontId="45" fillId="0" borderId="38" xfId="94" applyFont="1" applyBorder="1" applyAlignment="1" applyProtection="1">
      <alignment horizontal="justify" vertical="top" wrapText="1"/>
    </xf>
    <xf numFmtId="0" fontId="32" fillId="0" borderId="38" xfId="94" applyFont="1" applyBorder="1" applyAlignment="1" applyProtection="1">
      <alignment vertical="top" wrapText="1"/>
      <protection locked="0"/>
    </xf>
    <xf numFmtId="0" fontId="45" fillId="0" borderId="38" xfId="94" applyFont="1" applyFill="1" applyBorder="1" applyAlignment="1" applyProtection="1">
      <alignment horizontal="center" vertical="center" wrapText="1"/>
      <protection locked="0"/>
    </xf>
    <xf numFmtId="0" fontId="46" fillId="0" borderId="4" xfId="94" quotePrefix="1" applyFont="1" applyBorder="1" applyAlignment="1" applyProtection="1">
      <alignment horizontal="center" vertical="top" wrapText="1"/>
    </xf>
    <xf numFmtId="0" fontId="46" fillId="0" borderId="5" xfId="94" applyFont="1" applyBorder="1" applyAlignment="1" applyProtection="1">
      <alignment horizontal="justify" vertical="top" wrapText="1"/>
    </xf>
    <xf numFmtId="0" fontId="48" fillId="0" borderId="5" xfId="94" applyFont="1" applyBorder="1" applyAlignment="1" applyProtection="1">
      <alignment vertical="top" wrapText="1"/>
      <protection locked="0"/>
    </xf>
    <xf numFmtId="0" fontId="47" fillId="0" borderId="5" xfId="94" applyFont="1" applyFill="1" applyBorder="1" applyAlignment="1" applyProtection="1">
      <alignment horizontal="center" vertical="center" wrapText="1"/>
      <protection locked="0"/>
    </xf>
    <xf numFmtId="4" fontId="46" fillId="0" borderId="6" xfId="94" applyNumberFormat="1" applyFont="1" applyBorder="1" applyAlignment="1" applyProtection="1">
      <alignment horizontal="right" vertical="top"/>
    </xf>
    <xf numFmtId="0" fontId="34" fillId="0" borderId="2" xfId="94" applyFont="1" applyBorder="1" applyAlignment="1" applyProtection="1">
      <alignment vertical="top"/>
    </xf>
    <xf numFmtId="0" fontId="34" fillId="0" borderId="1" xfId="94" applyFont="1" applyBorder="1" applyAlignment="1" applyProtection="1">
      <alignment horizontal="justify" vertical="top" wrapText="1"/>
    </xf>
    <xf numFmtId="0" fontId="34" fillId="0" borderId="1" xfId="94" applyFont="1" applyBorder="1" applyAlignment="1" applyProtection="1">
      <alignment vertical="top" wrapText="1"/>
      <protection locked="0"/>
    </xf>
    <xf numFmtId="0" fontId="34" fillId="0" borderId="13" xfId="94" applyFont="1" applyBorder="1" applyAlignment="1" applyProtection="1">
      <alignment horizontal="justify" vertical="top" wrapText="1"/>
    </xf>
    <xf numFmtId="4" fontId="34" fillId="0" borderId="13" xfId="94" applyNumberFormat="1" applyFont="1" applyBorder="1" applyAlignment="1" applyProtection="1">
      <alignment horizontal="right" vertical="top" wrapText="1"/>
    </xf>
    <xf numFmtId="0" fontId="34" fillId="0" borderId="13" xfId="94" applyFont="1" applyBorder="1" applyAlignment="1" applyProtection="1">
      <alignment vertical="top" wrapText="1"/>
      <protection locked="0"/>
    </xf>
    <xf numFmtId="0" fontId="34" fillId="0" borderId="13" xfId="94" applyFont="1" applyFill="1" applyBorder="1" applyAlignment="1" applyProtection="1">
      <alignment horizontal="center" vertical="center" wrapText="1"/>
      <protection locked="0"/>
    </xf>
    <xf numFmtId="4" fontId="34" fillId="0" borderId="14" xfId="94" applyNumberFormat="1" applyFont="1" applyBorder="1" applyAlignment="1" applyProtection="1">
      <alignment horizontal="justify" vertical="top" wrapText="1"/>
    </xf>
    <xf numFmtId="0" fontId="34" fillId="0" borderId="34" xfId="94" quotePrefix="1" applyFont="1" applyBorder="1" applyAlignment="1" applyProtection="1">
      <alignment horizontal="center" vertical="top" wrapText="1"/>
    </xf>
    <xf numFmtId="0" fontId="34" fillId="0" borderId="35" xfId="94" applyFont="1" applyBorder="1" applyAlignment="1" applyProtection="1">
      <alignment vertical="top"/>
    </xf>
    <xf numFmtId="0" fontId="34" fillId="0" borderId="35" xfId="94" applyFont="1" applyBorder="1" applyAlignment="1" applyProtection="1">
      <alignment horizontal="justify" vertical="top" wrapText="1"/>
    </xf>
    <xf numFmtId="4" fontId="34" fillId="0" borderId="35" xfId="94" applyNumberFormat="1" applyFont="1" applyBorder="1" applyAlignment="1" applyProtection="1">
      <alignment horizontal="right" vertical="top" wrapText="1"/>
    </xf>
    <xf numFmtId="0" fontId="34" fillId="0" borderId="35" xfId="94" applyFont="1" applyBorder="1" applyAlignment="1" applyProtection="1">
      <alignment vertical="top" wrapText="1"/>
      <protection locked="0"/>
    </xf>
    <xf numFmtId="0" fontId="34" fillId="0" borderId="35" xfId="94" applyFont="1" applyFill="1" applyBorder="1" applyAlignment="1" applyProtection="1">
      <alignment horizontal="center" vertical="center" wrapText="1"/>
      <protection locked="0"/>
    </xf>
    <xf numFmtId="4" fontId="34" fillId="0" borderId="47" xfId="94" applyNumberFormat="1" applyFont="1" applyBorder="1" applyAlignment="1" applyProtection="1">
      <alignment horizontal="right" vertical="top"/>
    </xf>
    <xf numFmtId="0" fontId="34" fillId="0" borderId="48" xfId="94" quotePrefix="1" applyFont="1" applyBorder="1" applyAlignment="1" applyProtection="1">
      <alignment horizontal="center" vertical="top" wrapText="1"/>
    </xf>
    <xf numFmtId="0" fontId="34" fillId="0" borderId="49" xfId="94" quotePrefix="1" applyFont="1" applyBorder="1" applyAlignment="1" applyProtection="1">
      <alignment vertical="top"/>
    </xf>
    <xf numFmtId="0" fontId="34" fillId="0" borderId="49" xfId="94" applyFont="1" applyBorder="1" applyAlignment="1" applyProtection="1">
      <alignment horizontal="justify" vertical="top" wrapText="1"/>
    </xf>
    <xf numFmtId="4" fontId="34" fillId="0" borderId="49" xfId="94" applyNumberFormat="1" applyFont="1" applyBorder="1" applyAlignment="1" applyProtection="1">
      <alignment horizontal="right" vertical="top" wrapText="1"/>
    </xf>
    <xf numFmtId="0" fontId="34" fillId="0" borderId="49" xfId="94" applyFont="1" applyBorder="1" applyAlignment="1" applyProtection="1">
      <alignment vertical="top" wrapText="1"/>
      <protection locked="0"/>
    </xf>
    <xf numFmtId="0" fontId="34" fillId="0" borderId="49" xfId="94" applyFont="1" applyBorder="1" applyAlignment="1" applyProtection="1">
      <alignment horizontal="center" vertical="center" wrapText="1"/>
      <protection locked="0"/>
    </xf>
    <xf numFmtId="4" fontId="34" fillId="0" borderId="50" xfId="94" applyNumberFormat="1" applyFont="1" applyBorder="1" applyAlignment="1" applyProtection="1">
      <alignment horizontal="justify" vertical="top" wrapText="1"/>
    </xf>
    <xf numFmtId="0" fontId="45" fillId="0" borderId="38" xfId="94" applyFont="1" applyBorder="1" applyAlignment="1" applyProtection="1">
      <alignment horizontal="center" vertical="center" wrapText="1"/>
      <protection locked="0"/>
    </xf>
    <xf numFmtId="0" fontId="34" fillId="0" borderId="35" xfId="94" applyFont="1" applyBorder="1" applyAlignment="1" applyProtection="1">
      <alignment horizontal="center" vertical="center" wrapText="1"/>
      <protection locked="0"/>
    </xf>
    <xf numFmtId="0" fontId="34" fillId="0" borderId="11" xfId="94" applyFont="1" applyBorder="1" applyAlignment="1" applyProtection="1">
      <alignment horizontal="justify" vertical="top" wrapText="1"/>
    </xf>
    <xf numFmtId="4" fontId="34" fillId="0" borderId="11" xfId="94" applyNumberFormat="1" applyFont="1" applyBorder="1" applyAlignment="1" applyProtection="1">
      <alignment horizontal="right" vertical="top" wrapText="1"/>
    </xf>
    <xf numFmtId="0" fontId="34" fillId="0" borderId="11" xfId="94" applyFont="1" applyBorder="1" applyAlignment="1" applyProtection="1">
      <alignment vertical="top" wrapText="1"/>
      <protection locked="0"/>
    </xf>
    <xf numFmtId="0" fontId="34" fillId="0" borderId="11" xfId="94" applyFont="1" applyBorder="1" applyAlignment="1" applyProtection="1">
      <alignment horizontal="center" vertical="center" wrapText="1"/>
      <protection locked="0"/>
    </xf>
    <xf numFmtId="4" fontId="34" fillId="0" borderId="12" xfId="94" applyNumberFormat="1" applyFont="1" applyBorder="1" applyAlignment="1" applyProtection="1">
      <alignment horizontal="justify" vertical="top" wrapText="1"/>
    </xf>
    <xf numFmtId="0" fontId="52" fillId="0" borderId="16" xfId="94" applyFont="1" applyFill="1" applyBorder="1" applyAlignment="1" applyProtection="1">
      <alignment vertical="top" wrapText="1"/>
      <protection locked="0"/>
    </xf>
    <xf numFmtId="0" fontId="32" fillId="0" borderId="38" xfId="94" applyFont="1" applyFill="1" applyBorder="1" applyAlignment="1" applyProtection="1">
      <alignment vertical="top" wrapText="1"/>
      <protection locked="0"/>
    </xf>
    <xf numFmtId="0" fontId="40" fillId="0" borderId="4" xfId="94" quotePrefix="1" applyFont="1" applyBorder="1" applyAlignment="1" applyProtection="1">
      <alignment horizontal="center" vertical="top" wrapText="1"/>
    </xf>
    <xf numFmtId="0" fontId="34" fillId="0" borderId="33" xfId="94" applyFont="1" applyBorder="1" applyAlignment="1" applyProtection="1">
      <alignment horizontal="justify" vertical="top" wrapText="1"/>
    </xf>
    <xf numFmtId="4" fontId="34" fillId="0" borderId="33" xfId="94" applyNumberFormat="1" applyFont="1" applyFill="1" applyBorder="1" applyAlignment="1" applyProtection="1">
      <alignment horizontal="right" vertical="top" wrapText="1"/>
    </xf>
    <xf numFmtId="0" fontId="34" fillId="0" borderId="33" xfId="94" applyFont="1" applyFill="1" applyBorder="1" applyAlignment="1" applyProtection="1">
      <alignment vertical="top" wrapText="1"/>
      <protection locked="0"/>
    </xf>
    <xf numFmtId="0" fontId="34" fillId="0" borderId="33" xfId="94" applyFont="1" applyFill="1" applyBorder="1" applyAlignment="1" applyProtection="1">
      <alignment horizontal="center" vertical="center" wrapText="1"/>
      <protection locked="0"/>
    </xf>
    <xf numFmtId="4" fontId="34" fillId="0" borderId="13" xfId="94" applyNumberFormat="1" applyFont="1" applyFill="1" applyBorder="1" applyAlignment="1" applyProtection="1">
      <alignment horizontal="right" vertical="top" wrapText="1"/>
    </xf>
    <xf numFmtId="0" fontId="34" fillId="0" borderId="13" xfId="94" applyFont="1" applyFill="1" applyBorder="1" applyAlignment="1" applyProtection="1">
      <alignment vertical="top" wrapText="1"/>
      <protection locked="0"/>
    </xf>
    <xf numFmtId="0" fontId="45" fillId="0" borderId="28" xfId="94" applyFont="1" applyBorder="1" applyAlignment="1" applyProtection="1">
      <alignment horizontal="left" vertical="top"/>
    </xf>
    <xf numFmtId="4" fontId="45" fillId="0" borderId="28" xfId="94" applyNumberFormat="1" applyFont="1" applyFill="1" applyBorder="1" applyAlignment="1" applyProtection="1">
      <alignment horizontal="right" vertical="top"/>
    </xf>
    <xf numFmtId="3" fontId="32" fillId="0" borderId="28" xfId="94" applyNumberFormat="1" applyFont="1" applyFill="1" applyBorder="1" applyAlignment="1" applyProtection="1">
      <alignment vertical="top"/>
      <protection locked="0"/>
    </xf>
    <xf numFmtId="4" fontId="40" fillId="0" borderId="29" xfId="94" applyNumberFormat="1" applyFont="1" applyBorder="1" applyAlignment="1" applyProtection="1">
      <alignment horizontal="right" vertical="top"/>
    </xf>
    <xf numFmtId="4" fontId="34" fillId="0" borderId="35" xfId="94" applyNumberFormat="1" applyFont="1" applyFill="1" applyBorder="1" applyAlignment="1" applyProtection="1">
      <alignment horizontal="right" vertical="top"/>
    </xf>
    <xf numFmtId="3" fontId="34" fillId="0" borderId="35" xfId="94" applyNumberFormat="1" applyFont="1" applyFill="1" applyBorder="1" applyAlignment="1" applyProtection="1">
      <alignment vertical="top"/>
      <protection locked="0"/>
    </xf>
    <xf numFmtId="3" fontId="34" fillId="0" borderId="35" xfId="94" applyNumberFormat="1" applyFont="1" applyFill="1" applyBorder="1" applyAlignment="1" applyProtection="1">
      <alignment horizontal="center" vertical="center"/>
      <protection locked="0"/>
    </xf>
    <xf numFmtId="4" fontId="34" fillId="0" borderId="1" xfId="10" applyNumberFormat="1" applyFont="1" applyFill="1" applyBorder="1" applyAlignment="1" applyProtection="1">
      <alignment horizontal="right" vertical="top"/>
    </xf>
    <xf numFmtId="0" fontId="34" fillId="0" borderId="1" xfId="94" applyFont="1" applyFill="1" applyBorder="1" applyAlignment="1" applyProtection="1">
      <alignment horizontal="justify" vertical="top" wrapText="1"/>
    </xf>
    <xf numFmtId="0" fontId="34" fillId="0" borderId="1" xfId="94" applyFont="1" applyBorder="1" applyAlignment="1" applyProtection="1">
      <alignment horizontal="center" vertical="center" wrapText="1"/>
      <protection locked="0"/>
    </xf>
    <xf numFmtId="0" fontId="34" fillId="0" borderId="1" xfId="0" applyFont="1" applyBorder="1"/>
    <xf numFmtId="2" fontId="34" fillId="0" borderId="1" xfId="0" applyNumberFormat="1" applyFont="1" applyFill="1" applyBorder="1" applyAlignment="1">
      <alignment horizontal="right"/>
    </xf>
    <xf numFmtId="0" fontId="32" fillId="0" borderId="1" xfId="0" applyFont="1" applyBorder="1" applyAlignment="1"/>
    <xf numFmtId="0" fontId="32" fillId="0" borderId="1" xfId="0" applyFont="1" applyBorder="1" applyAlignment="1">
      <alignment horizontal="center" vertical="center"/>
    </xf>
    <xf numFmtId="0" fontId="34" fillId="0" borderId="5" xfId="94" applyFont="1" applyFill="1" applyBorder="1" applyAlignment="1" applyProtection="1">
      <alignment vertical="top" wrapText="1"/>
      <protection locked="0"/>
    </xf>
    <xf numFmtId="4" fontId="34" fillId="0" borderId="6" xfId="94" applyNumberFormat="1" applyFont="1" applyFill="1" applyBorder="1" applyAlignment="1" applyProtection="1">
      <alignment horizontal="justify" vertical="top" wrapText="1"/>
    </xf>
    <xf numFmtId="0" fontId="42" fillId="0" borderId="4" xfId="94" quotePrefix="1" applyFont="1" applyBorder="1" applyAlignment="1" applyProtection="1">
      <alignment horizontal="center" vertical="top" wrapText="1"/>
    </xf>
    <xf numFmtId="4" fontId="34" fillId="0" borderId="14" xfId="94" applyNumberFormat="1" applyFont="1" applyFill="1" applyBorder="1" applyAlignment="1" applyProtection="1">
      <alignment horizontal="right" vertical="top"/>
    </xf>
    <xf numFmtId="4" fontId="34" fillId="2" borderId="33" xfId="94" applyNumberFormat="1" applyFont="1" applyFill="1" applyBorder="1" applyAlignment="1" applyProtection="1">
      <alignment horizontal="right" vertical="top"/>
    </xf>
    <xf numFmtId="3" fontId="34" fillId="0" borderId="33" xfId="94" applyNumberFormat="1" applyFont="1" applyFill="1" applyBorder="1" applyAlignment="1" applyProtection="1">
      <alignment vertical="top"/>
      <protection locked="0"/>
    </xf>
    <xf numFmtId="4" fontId="34" fillId="2" borderId="1" xfId="94" applyNumberFormat="1" applyFont="1" applyFill="1" applyBorder="1" applyAlignment="1" applyProtection="1">
      <alignment horizontal="right" vertical="top"/>
    </xf>
    <xf numFmtId="0" fontId="42" fillId="0" borderId="1" xfId="94" quotePrefix="1" applyFont="1" applyBorder="1" applyAlignment="1" applyProtection="1">
      <alignment horizontal="center" vertical="top" wrapText="1"/>
    </xf>
    <xf numFmtId="4" fontId="46" fillId="0" borderId="5" xfId="94" applyNumberFormat="1" applyFont="1" applyBorder="1" applyAlignment="1" applyProtection="1">
      <alignment horizontal="right" vertical="top" wrapText="1"/>
    </xf>
    <xf numFmtId="0" fontId="51" fillId="0" borderId="5" xfId="94" applyFont="1" applyBorder="1" applyAlignment="1" applyProtection="1">
      <alignment vertical="top" wrapText="1"/>
      <protection locked="0"/>
    </xf>
    <xf numFmtId="0" fontId="46" fillId="0" borderId="5" xfId="94" applyFont="1" applyBorder="1" applyAlignment="1" applyProtection="1">
      <alignment horizontal="center" vertical="center" wrapText="1"/>
      <protection locked="0"/>
    </xf>
    <xf numFmtId="4" fontId="43" fillId="0" borderId="6" xfId="94" applyNumberFormat="1" applyFont="1" applyBorder="1" applyAlignment="1" applyProtection="1">
      <alignment horizontal="right" vertical="top" wrapText="1"/>
    </xf>
    <xf numFmtId="0" fontId="40" fillId="0" borderId="38" xfId="94" applyFont="1" applyBorder="1" applyAlignment="1" applyProtection="1">
      <alignment horizontal="justify" vertical="top" wrapText="1"/>
    </xf>
    <xf numFmtId="4" fontId="40" fillId="0" borderId="38" xfId="94" applyNumberFormat="1" applyFont="1" applyBorder="1" applyAlignment="1" applyProtection="1">
      <alignment horizontal="right" vertical="top" wrapText="1"/>
    </xf>
    <xf numFmtId="0" fontId="49" fillId="0" borderId="38" xfId="94" applyFont="1" applyBorder="1" applyAlignment="1" applyProtection="1">
      <alignment vertical="top" wrapText="1"/>
      <protection locked="0"/>
    </xf>
    <xf numFmtId="0" fontId="40" fillId="0" borderId="38" xfId="94" applyFont="1" applyBorder="1" applyAlignment="1" applyProtection="1">
      <alignment horizontal="center" vertical="center" wrapText="1"/>
      <protection locked="0"/>
    </xf>
    <xf numFmtId="0" fontId="46" fillId="0" borderId="33" xfId="94" applyFont="1" applyBorder="1" applyAlignment="1" applyProtection="1">
      <alignment horizontal="justify" vertical="top" wrapText="1"/>
    </xf>
    <xf numFmtId="0" fontId="48" fillId="0" borderId="33" xfId="94" applyFont="1" applyBorder="1" applyAlignment="1" applyProtection="1">
      <alignment vertical="top" wrapText="1"/>
      <protection locked="0"/>
    </xf>
    <xf numFmtId="0" fontId="47" fillId="0" borderId="33" xfId="94" applyFont="1" applyBorder="1" applyAlignment="1" applyProtection="1">
      <alignment horizontal="center" vertical="center" wrapText="1"/>
      <protection locked="0"/>
    </xf>
    <xf numFmtId="4" fontId="34" fillId="0" borderId="3" xfId="94" applyNumberFormat="1" applyFont="1" applyBorder="1" applyAlignment="1" applyProtection="1">
      <alignment horizontal="justify" vertical="top" wrapText="1"/>
    </xf>
    <xf numFmtId="0" fontId="46" fillId="0" borderId="1" xfId="94" applyFont="1" applyBorder="1" applyAlignment="1" applyProtection="1">
      <alignment horizontal="justify" vertical="top" wrapText="1"/>
    </xf>
    <xf numFmtId="0" fontId="48" fillId="0" borderId="1" xfId="94" applyFont="1" applyBorder="1" applyAlignment="1" applyProtection="1">
      <alignment vertical="top" wrapText="1"/>
      <protection locked="0"/>
    </xf>
    <xf numFmtId="0" fontId="47" fillId="0" borderId="1" xfId="94" applyFont="1" applyFill="1" applyBorder="1" applyAlignment="1" applyProtection="1">
      <alignment horizontal="center" vertical="center" wrapText="1"/>
      <protection locked="0"/>
    </xf>
    <xf numFmtId="0" fontId="34" fillId="0" borderId="1" xfId="94" quotePrefix="1" applyFont="1" applyBorder="1" applyAlignment="1" applyProtection="1">
      <alignment horizontal="left" vertical="top"/>
    </xf>
    <xf numFmtId="0" fontId="40" fillId="0" borderId="38" xfId="94" applyFont="1" applyFill="1" applyBorder="1" applyAlignment="1" applyProtection="1">
      <alignment horizontal="center" vertical="center" wrapText="1"/>
      <protection locked="0"/>
    </xf>
    <xf numFmtId="0" fontId="34" fillId="0" borderId="36" xfId="94" quotePrefix="1" applyFont="1" applyBorder="1" applyAlignment="1" applyProtection="1">
      <alignment horizontal="center" vertical="top" wrapText="1"/>
    </xf>
    <xf numFmtId="4" fontId="34" fillId="0" borderId="33" xfId="94" applyNumberFormat="1" applyFont="1" applyBorder="1" applyAlignment="1" applyProtection="1">
      <alignment horizontal="right" vertical="top" wrapText="1"/>
    </xf>
    <xf numFmtId="0" fontId="34" fillId="0" borderId="33" xfId="94" applyFont="1" applyBorder="1" applyAlignment="1" applyProtection="1">
      <alignment vertical="top" wrapText="1"/>
      <protection locked="0"/>
    </xf>
    <xf numFmtId="0" fontId="34" fillId="0" borderId="11" xfId="94" applyFont="1" applyFill="1" applyBorder="1" applyAlignment="1" applyProtection="1">
      <alignment horizontal="center" vertical="center" wrapText="1"/>
      <protection locked="0"/>
    </xf>
    <xf numFmtId="0" fontId="43" fillId="0" borderId="7" xfId="94" applyFont="1" applyBorder="1" applyAlignment="1" applyProtection="1">
      <alignment horizontal="center" vertical="top" wrapText="1"/>
    </xf>
    <xf numFmtId="0" fontId="43" fillId="0" borderId="8" xfId="94" quotePrefix="1" applyFont="1" applyBorder="1" applyAlignment="1" applyProtection="1">
      <alignment vertical="top"/>
    </xf>
    <xf numFmtId="0" fontId="46" fillId="0" borderId="8" xfId="94" applyFont="1" applyBorder="1" applyAlignment="1" applyProtection="1">
      <alignment horizontal="justify" vertical="top" wrapText="1"/>
    </xf>
    <xf numFmtId="4" fontId="46" fillId="0" borderId="8" xfId="94" applyNumberFormat="1" applyFont="1" applyBorder="1" applyAlignment="1" applyProtection="1">
      <alignment horizontal="right" vertical="top" wrapText="1"/>
    </xf>
    <xf numFmtId="0" fontId="51" fillId="0" borderId="8" xfId="94" applyFont="1" applyBorder="1" applyAlignment="1" applyProtection="1">
      <alignment vertical="top" wrapText="1"/>
      <protection locked="0"/>
    </xf>
    <xf numFmtId="0" fontId="46" fillId="0" borderId="8" xfId="94" applyFont="1" applyFill="1" applyBorder="1" applyAlignment="1" applyProtection="1">
      <alignment horizontal="center" vertical="center" wrapText="1"/>
      <protection locked="0"/>
    </xf>
    <xf numFmtId="4" fontId="43" fillId="0" borderId="9" xfId="94" applyNumberFormat="1" applyFont="1" applyBorder="1" applyAlignment="1" applyProtection="1">
      <alignment horizontal="right" vertical="top" wrapText="1"/>
    </xf>
    <xf numFmtId="4" fontId="34" fillId="0" borderId="46" xfId="94" applyNumberFormat="1" applyFont="1" applyBorder="1" applyAlignment="1" applyProtection="1">
      <alignment horizontal="justify" vertical="top" wrapText="1"/>
    </xf>
    <xf numFmtId="0" fontId="34" fillId="0" borderId="33" xfId="94" applyFont="1" applyBorder="1" applyAlignment="1" applyProtection="1">
      <alignment horizontal="center" vertical="center" wrapText="1"/>
      <protection locked="0"/>
    </xf>
    <xf numFmtId="0" fontId="34" fillId="0" borderId="0" xfId="94" applyFont="1" applyBorder="1" applyAlignment="1" applyProtection="1">
      <alignment horizontal="left" vertical="top"/>
    </xf>
    <xf numFmtId="0" fontId="44" fillId="0" borderId="0" xfId="94" quotePrefix="1" applyFont="1" applyBorder="1" applyAlignment="1" applyProtection="1">
      <alignment vertical="top"/>
    </xf>
    <xf numFmtId="0" fontId="44" fillId="0" borderId="0" xfId="94" applyFont="1" applyBorder="1" applyAlignment="1" applyProtection="1">
      <alignment horizontal="justify" vertical="top" wrapText="1"/>
    </xf>
    <xf numFmtId="0" fontId="44" fillId="0" borderId="0" xfId="94" applyFont="1" applyBorder="1" applyAlignment="1" applyProtection="1">
      <alignment horizontal="right" vertical="top" wrapText="1"/>
    </xf>
    <xf numFmtId="0" fontId="34" fillId="0" borderId="0" xfId="94" applyFont="1" applyBorder="1" applyAlignment="1" applyProtection="1">
      <alignment vertical="top" wrapText="1"/>
      <protection locked="0"/>
    </xf>
    <xf numFmtId="0" fontId="44" fillId="0" borderId="0" xfId="94" applyFont="1" applyBorder="1" applyAlignment="1" applyProtection="1">
      <alignment horizontal="center" vertical="center" wrapText="1"/>
      <protection locked="0"/>
    </xf>
    <xf numFmtId="4" fontId="45" fillId="0" borderId="0" xfId="94" applyNumberFormat="1" applyFont="1" applyBorder="1" applyAlignment="1" applyProtection="1">
      <alignment horizontal="right" vertical="top" wrapText="1"/>
    </xf>
    <xf numFmtId="0" fontId="34" fillId="0" borderId="0" xfId="94" applyFont="1" applyAlignment="1" applyProtection="1">
      <alignment horizontal="justify" vertical="top" wrapText="1"/>
    </xf>
    <xf numFmtId="0" fontId="34" fillId="0" borderId="0" xfId="94" applyFont="1" applyAlignment="1" applyProtection="1">
      <alignment horizontal="right" vertical="top" wrapText="1"/>
    </xf>
    <xf numFmtId="0" fontId="34" fillId="0" borderId="0" xfId="94" applyFont="1" applyAlignment="1" applyProtection="1">
      <alignment vertical="top" wrapText="1"/>
    </xf>
    <xf numFmtId="0" fontId="34" fillId="0" borderId="0" xfId="94" applyFont="1" applyAlignment="1" applyProtection="1">
      <alignment horizontal="center" vertical="center" wrapText="1"/>
    </xf>
    <xf numFmtId="0" fontId="32" fillId="0" borderId="0" xfId="94" applyFont="1" applyBorder="1" applyAlignment="1" applyProtection="1">
      <alignment horizontal="right" vertical="top" wrapText="1"/>
    </xf>
    <xf numFmtId="0" fontId="27" fillId="0" borderId="0" xfId="0" applyFont="1" applyAlignment="1">
      <alignment horizontal="centerContinuous" vertical="center"/>
    </xf>
    <xf numFmtId="0" fontId="27" fillId="0" borderId="0" xfId="0" applyFont="1" applyAlignment="1">
      <alignment horizontal="centerContinuous" vertical="center" wrapText="1"/>
    </xf>
    <xf numFmtId="0" fontId="27" fillId="0" borderId="1" xfId="0" applyFont="1" applyBorder="1" applyAlignment="1">
      <alignment horizontal="center" vertical="center"/>
    </xf>
    <xf numFmtId="0" fontId="27" fillId="0" borderId="1" xfId="0" applyFont="1" applyBorder="1" applyAlignment="1">
      <alignment vertical="center" wrapText="1"/>
    </xf>
    <xf numFmtId="168" fontId="27" fillId="0" borderId="1" xfId="0" applyNumberFormat="1" applyFont="1" applyBorder="1" applyAlignment="1">
      <alignment vertical="center"/>
    </xf>
    <xf numFmtId="0" fontId="28" fillId="0" borderId="1" xfId="0" applyFont="1" applyBorder="1" applyAlignment="1">
      <alignment horizontal="center" vertical="center"/>
    </xf>
    <xf numFmtId="0" fontId="28" fillId="0" borderId="1" xfId="0" applyFont="1" applyBorder="1" applyAlignment="1">
      <alignment vertical="center" wrapText="1"/>
    </xf>
    <xf numFmtId="168" fontId="28" fillId="0" borderId="1" xfId="0" applyNumberFormat="1" applyFont="1" applyBorder="1" applyAlignment="1">
      <alignment vertical="center"/>
    </xf>
    <xf numFmtId="0" fontId="27" fillId="0" borderId="51" xfId="0" applyFont="1" applyBorder="1" applyAlignment="1">
      <alignment vertical="center"/>
    </xf>
    <xf numFmtId="4" fontId="28" fillId="0" borderId="79" xfId="0" applyNumberFormat="1" applyFont="1" applyBorder="1" applyAlignment="1">
      <alignment vertical="center"/>
    </xf>
    <xf numFmtId="4" fontId="28" fillId="0" borderId="81" xfId="0" applyNumberFormat="1" applyFont="1" applyBorder="1" applyAlignment="1">
      <alignment vertical="center"/>
    </xf>
    <xf numFmtId="0" fontId="28" fillId="0" borderId="40" xfId="0" applyFont="1" applyBorder="1" applyAlignment="1">
      <alignment vertical="center"/>
    </xf>
    <xf numFmtId="0" fontId="28" fillId="0" borderId="43" xfId="0" applyFont="1" applyBorder="1" applyAlignment="1">
      <alignment vertical="center"/>
    </xf>
    <xf numFmtId="0" fontId="31" fillId="0" borderId="105" xfId="0" applyFont="1" applyBorder="1" applyAlignment="1">
      <alignment vertical="center"/>
    </xf>
    <xf numFmtId="0" fontId="31" fillId="0" borderId="55" xfId="0" applyFont="1" applyBorder="1" applyAlignment="1">
      <alignment vertical="center"/>
    </xf>
    <xf numFmtId="0" fontId="28" fillId="0" borderId="0" xfId="0" applyFont="1" applyAlignment="1">
      <alignment horizontal="center" vertical="center"/>
    </xf>
    <xf numFmtId="14" fontId="30" fillId="0" borderId="51" xfId="0" applyNumberFormat="1" applyFont="1" applyBorder="1" applyAlignment="1" applyProtection="1">
      <alignment vertical="center"/>
    </xf>
    <xf numFmtId="14" fontId="30" fillId="0" borderId="51" xfId="0" applyNumberFormat="1" applyFont="1" applyBorder="1" applyAlignment="1" applyProtection="1">
      <alignment horizontal="right" vertical="center"/>
    </xf>
    <xf numFmtId="0" fontId="28" fillId="0" borderId="1" xfId="0" applyFont="1" applyBorder="1" applyAlignment="1">
      <alignment vertical="center"/>
    </xf>
    <xf numFmtId="0" fontId="28" fillId="6" borderId="1" xfId="0" applyFont="1" applyFill="1" applyBorder="1" applyAlignment="1">
      <alignment vertical="center"/>
    </xf>
    <xf numFmtId="0" fontId="53" fillId="6" borderId="1" xfId="0" applyFont="1" applyFill="1" applyBorder="1" applyAlignment="1">
      <alignment horizontal="left" vertical="center" wrapText="1"/>
    </xf>
    <xf numFmtId="4" fontId="28" fillId="0" borderId="1" xfId="0" applyNumberFormat="1" applyFont="1" applyBorder="1" applyAlignment="1">
      <alignment vertical="center"/>
    </xf>
    <xf numFmtId="0" fontId="27" fillId="0" borderId="1" xfId="0" applyFont="1" applyBorder="1" applyAlignment="1">
      <alignment horizontal="righ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7" fillId="0" borderId="1" xfId="0" applyFont="1" applyFill="1" applyBorder="1" applyAlignment="1">
      <alignment horizontal="righ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7" fillId="0" borderId="51" xfId="0" applyFont="1" applyBorder="1" applyAlignment="1" applyProtection="1">
      <alignment vertical="center" wrapText="1"/>
    </xf>
    <xf numFmtId="0" fontId="28" fillId="0" borderId="99" xfId="0" applyFont="1" applyBorder="1" applyAlignment="1" applyProtection="1">
      <alignment horizontal="left" vertical="center" wrapText="1"/>
    </xf>
    <xf numFmtId="0" fontId="28" fillId="0" borderId="25" xfId="0" applyFont="1" applyBorder="1" applyAlignment="1" applyProtection="1">
      <alignment horizontal="left" vertical="center" wrapText="1"/>
    </xf>
    <xf numFmtId="0" fontId="28" fillId="0" borderId="65" xfId="0" applyFont="1" applyBorder="1" applyAlignment="1" applyProtection="1">
      <alignment horizontal="left" vertical="center" wrapText="1"/>
    </xf>
    <xf numFmtId="0" fontId="18" fillId="0" borderId="0" xfId="0" applyFont="1" applyAlignment="1">
      <alignment wrapText="1"/>
    </xf>
    <xf numFmtId="0" fontId="29" fillId="0" borderId="1" xfId="0" applyFont="1" applyFill="1" applyBorder="1" applyAlignment="1">
      <alignment horizontal="center" vertical="center" wrapText="1"/>
    </xf>
    <xf numFmtId="0" fontId="28" fillId="0" borderId="52" xfId="0" applyFont="1" applyBorder="1" applyAlignment="1" applyProtection="1">
      <alignment horizontal="justify" vertical="center"/>
    </xf>
    <xf numFmtId="0" fontId="28" fillId="0" borderId="53" xfId="0" applyFont="1" applyBorder="1" applyAlignment="1" applyProtection="1">
      <alignment horizontal="justify" vertical="center"/>
    </xf>
    <xf numFmtId="0" fontId="27" fillId="0" borderId="0" xfId="0" applyFont="1" applyAlignment="1" applyProtection="1">
      <alignment horizontal="right" vertical="center"/>
    </xf>
    <xf numFmtId="0" fontId="28" fillId="0" borderId="55" xfId="0" applyFont="1" applyFill="1" applyBorder="1" applyAlignment="1">
      <alignment horizontal="center" vertical="center" wrapText="1"/>
    </xf>
    <xf numFmtId="2" fontId="31" fillId="0" borderId="0" xfId="2"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xf>
    <xf numFmtId="0" fontId="12" fillId="5" borderId="33" xfId="0" applyNumberFormat="1" applyFont="1" applyFill="1" applyBorder="1" applyAlignment="1" applyProtection="1">
      <alignment horizontal="center" vertical="center"/>
    </xf>
    <xf numFmtId="0" fontId="12" fillId="5" borderId="85" xfId="0" applyNumberFormat="1" applyFont="1" applyFill="1" applyBorder="1" applyAlignment="1" applyProtection="1">
      <alignment horizontal="center" vertical="center"/>
    </xf>
    <xf numFmtId="0" fontId="12" fillId="5" borderId="32"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xf>
    <xf numFmtId="0" fontId="12"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1" fontId="28" fillId="0" borderId="24" xfId="0" applyNumberFormat="1" applyFont="1" applyFill="1" applyBorder="1" applyAlignment="1" applyProtection="1">
      <alignment horizontal="center" vertical="center" wrapText="1"/>
      <protection locked="0"/>
    </xf>
    <xf numFmtId="0" fontId="11" fillId="0" borderId="0" xfId="151" applyAlignment="1">
      <alignment vertical="center"/>
    </xf>
    <xf numFmtId="0" fontId="11" fillId="6" borderId="0" xfId="151" applyFill="1" applyBorder="1" applyAlignment="1">
      <alignment vertical="center"/>
    </xf>
    <xf numFmtId="0" fontId="56" fillId="0" borderId="0" xfId="151" applyFont="1" applyAlignment="1">
      <alignment vertical="center" wrapText="1"/>
    </xf>
    <xf numFmtId="0" fontId="11" fillId="0" borderId="0" xfId="151" applyAlignment="1">
      <alignment horizontal="center" vertical="center"/>
    </xf>
    <xf numFmtId="0" fontId="11" fillId="0" borderId="0" xfId="151" applyFont="1" applyAlignment="1">
      <alignment horizontal="justify" vertical="center" wrapText="1"/>
    </xf>
    <xf numFmtId="4" fontId="11" fillId="0" borderId="0" xfId="151" applyNumberFormat="1" applyFont="1" applyAlignment="1">
      <alignment horizontal="right" vertical="center" wrapText="1"/>
    </xf>
    <xf numFmtId="0" fontId="16" fillId="0" borderId="0" xfId="151" applyFont="1" applyAlignment="1">
      <alignment horizontal="justify" vertical="center" wrapText="1"/>
    </xf>
    <xf numFmtId="2" fontId="16" fillId="0" borderId="0" xfId="151" applyNumberFormat="1" applyFont="1" applyAlignment="1">
      <alignment horizontal="right" vertical="center" wrapText="1"/>
    </xf>
    <xf numFmtId="4" fontId="16" fillId="0" borderId="0" xfId="151" applyNumberFormat="1" applyFont="1" applyAlignment="1">
      <alignment horizontal="right" vertical="center" wrapText="1"/>
    </xf>
    <xf numFmtId="4" fontId="11" fillId="0" borderId="0" xfId="151" applyNumberFormat="1" applyAlignment="1">
      <alignment horizontal="right" vertical="center"/>
    </xf>
    <xf numFmtId="0" fontId="11" fillId="0" borderId="0" xfId="151" applyFont="1" applyAlignment="1">
      <alignment horizontal="justify" vertical="center"/>
    </xf>
    <xf numFmtId="0" fontId="16" fillId="0" borderId="0" xfId="151" applyFont="1" applyAlignment="1">
      <alignment horizontal="justify" vertical="center"/>
    </xf>
    <xf numFmtId="0" fontId="36" fillId="0" borderId="0" xfId="151" applyFont="1" applyAlignment="1">
      <alignment horizontal="center" vertical="center"/>
    </xf>
    <xf numFmtId="0" fontId="27" fillId="0" borderId="0" xfId="151" applyFont="1" applyAlignment="1">
      <alignment horizontal="right" vertical="center"/>
    </xf>
    <xf numFmtId="9" fontId="28" fillId="0" borderId="133" xfId="151" applyNumberFormat="1" applyFont="1" applyFill="1" applyBorder="1" applyAlignment="1">
      <alignment horizontal="center" vertical="center" wrapText="1"/>
    </xf>
    <xf numFmtId="9" fontId="28" fillId="0" borderId="126" xfId="151" applyNumberFormat="1" applyFont="1" applyFill="1" applyBorder="1" applyAlignment="1">
      <alignment horizontal="center" vertical="center" wrapText="1"/>
    </xf>
    <xf numFmtId="0" fontId="28" fillId="0" borderId="1" xfId="151" applyFont="1" applyBorder="1" applyAlignment="1">
      <alignment vertical="center" wrapText="1"/>
    </xf>
    <xf numFmtId="0" fontId="28" fillId="0" borderId="63" xfId="151" applyFont="1" applyBorder="1" applyAlignment="1">
      <alignment vertical="center" wrapText="1"/>
    </xf>
    <xf numFmtId="0" fontId="28" fillId="0" borderId="11" xfId="151" applyFont="1" applyBorder="1" applyAlignment="1">
      <alignment vertical="center" wrapText="1"/>
    </xf>
    <xf numFmtId="0" fontId="28" fillId="0" borderId="98" xfId="151" applyFont="1" applyBorder="1" applyAlignment="1">
      <alignment vertical="center" wrapText="1"/>
    </xf>
    <xf numFmtId="0" fontId="28" fillId="0" borderId="26" xfId="151" applyFont="1" applyBorder="1" applyAlignment="1">
      <alignment vertical="center" wrapText="1"/>
    </xf>
    <xf numFmtId="0" fontId="28" fillId="0" borderId="97" xfId="151" applyFont="1" applyBorder="1" applyAlignment="1">
      <alignment vertical="center" wrapText="1"/>
    </xf>
    <xf numFmtId="0" fontId="27" fillId="0" borderId="41" xfId="0" applyFont="1" applyBorder="1" applyAlignment="1">
      <alignment horizontal="center" vertical="center"/>
    </xf>
    <xf numFmtId="166" fontId="11" fillId="6" borderId="0" xfId="2" applyFont="1" applyFill="1" applyBorder="1" applyAlignment="1">
      <alignment vertical="center"/>
    </xf>
    <xf numFmtId="166" fontId="11" fillId="6" borderId="0" xfId="151" applyNumberFormat="1" applyFill="1" applyBorder="1" applyAlignment="1">
      <alignment vertical="center"/>
    </xf>
    <xf numFmtId="166" fontId="28" fillId="0" borderId="1" xfId="2" applyNumberFormat="1" applyFont="1" applyBorder="1" applyAlignment="1">
      <alignment vertical="center"/>
    </xf>
    <xf numFmtId="166" fontId="28" fillId="6" borderId="1" xfId="2" applyNumberFormat="1" applyFont="1" applyFill="1" applyBorder="1" applyAlignment="1">
      <alignment vertical="center"/>
    </xf>
    <xf numFmtId="166" fontId="27" fillId="7" borderId="1" xfId="2" applyNumberFormat="1" applyFont="1" applyFill="1" applyBorder="1" applyAlignment="1">
      <alignment vertical="center"/>
    </xf>
    <xf numFmtId="0" fontId="44" fillId="10" borderId="76" xfId="94" quotePrefix="1" applyFont="1" applyFill="1" applyBorder="1" applyAlignment="1" applyProtection="1">
      <alignment horizontal="center" vertical="center" wrapText="1"/>
    </xf>
    <xf numFmtId="0" fontId="45" fillId="10" borderId="77" xfId="94" applyFont="1" applyFill="1" applyBorder="1" applyAlignment="1" applyProtection="1">
      <alignment horizontal="center" vertical="center"/>
    </xf>
    <xf numFmtId="0" fontId="44" fillId="10" borderId="77" xfId="94" applyFont="1" applyFill="1" applyBorder="1" applyAlignment="1" applyProtection="1">
      <alignment horizontal="justify" vertical="center" wrapText="1"/>
    </xf>
    <xf numFmtId="0" fontId="44" fillId="10" borderId="77" xfId="94" applyFont="1" applyFill="1" applyBorder="1" applyAlignment="1" applyProtection="1">
      <alignment horizontal="right" vertical="center" wrapText="1"/>
    </xf>
    <xf numFmtId="0" fontId="34" fillId="10" borderId="77" xfId="94" applyFont="1" applyFill="1" applyBorder="1" applyAlignment="1" applyProtection="1">
      <alignment vertical="center" wrapText="1"/>
      <protection locked="0"/>
    </xf>
    <xf numFmtId="0" fontId="44" fillId="10" borderId="77" xfId="94" applyFont="1" applyFill="1" applyBorder="1" applyAlignment="1" applyProtection="1">
      <alignment horizontal="center" vertical="center" wrapText="1"/>
      <protection locked="0"/>
    </xf>
    <xf numFmtId="4" fontId="45" fillId="10" borderId="78" xfId="94" applyNumberFormat="1" applyFont="1" applyFill="1" applyBorder="1" applyAlignment="1" applyProtection="1">
      <alignment horizontal="right" vertical="center" wrapText="1"/>
    </xf>
    <xf numFmtId="4" fontId="40" fillId="0" borderId="29" xfId="94" applyNumberFormat="1" applyFont="1" applyFill="1" applyBorder="1" applyAlignment="1" applyProtection="1">
      <alignment horizontal="right" vertical="top"/>
    </xf>
    <xf numFmtId="0" fontId="18" fillId="0" borderId="0" xfId="0" applyFont="1" applyAlignment="1"/>
    <xf numFmtId="0" fontId="28" fillId="0" borderId="0" xfId="0" applyFont="1" applyBorder="1" applyAlignment="1" applyProtection="1">
      <alignment vertical="center"/>
    </xf>
    <xf numFmtId="1" fontId="29" fillId="0" borderId="24" xfId="0" applyNumberFormat="1" applyFont="1" applyFill="1" applyBorder="1" applyAlignment="1">
      <alignment horizontal="center" vertical="center" wrapText="1"/>
    </xf>
    <xf numFmtId="0" fontId="28" fillId="0" borderId="0" xfId="0" applyFont="1" applyFill="1" applyBorder="1" applyAlignment="1" applyProtection="1">
      <alignment horizontal="left" vertical="center"/>
    </xf>
    <xf numFmtId="0" fontId="18" fillId="0" borderId="0" xfId="0" applyFont="1" applyAlignment="1">
      <alignment horizontal="left"/>
    </xf>
    <xf numFmtId="0" fontId="27" fillId="0" borderId="41" xfId="0" applyFont="1" applyBorder="1" applyAlignment="1">
      <alignment horizontal="center" vertical="center"/>
    </xf>
    <xf numFmtId="0" fontId="28" fillId="0" borderId="1" xfId="0" applyFont="1" applyBorder="1" applyAlignment="1">
      <alignment vertical="center"/>
    </xf>
    <xf numFmtId="0" fontId="29" fillId="0" borderId="13" xfId="0" applyFont="1" applyFill="1" applyBorder="1" applyAlignment="1">
      <alignment horizontal="center" vertical="center" wrapText="1"/>
    </xf>
    <xf numFmtId="0" fontId="29" fillId="0" borderId="13" xfId="0" applyFont="1" applyFill="1" applyBorder="1" applyAlignment="1">
      <alignment horizontal="center" vertical="center"/>
    </xf>
    <xf numFmtId="1" fontId="29" fillId="0" borderId="90" xfId="0" applyNumberFormat="1"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Font="1" applyFill="1" applyBorder="1" applyAlignment="1">
      <alignment horizontal="center" vertical="center"/>
    </xf>
    <xf numFmtId="1" fontId="29" fillId="0" borderId="59" xfId="0" applyNumberFormat="1" applyFont="1" applyFill="1" applyBorder="1" applyAlignment="1">
      <alignment horizontal="center" vertical="center" wrapText="1"/>
    </xf>
    <xf numFmtId="0" fontId="29" fillId="0" borderId="97" xfId="0" applyFont="1" applyFill="1" applyBorder="1" applyAlignment="1">
      <alignment horizontal="center" vertical="center" wrapText="1"/>
    </xf>
    <xf numFmtId="0" fontId="33" fillId="11" borderId="102" xfId="0" applyFont="1" applyFill="1" applyBorder="1" applyAlignment="1">
      <alignment horizontal="center" vertical="center" wrapText="1"/>
    </xf>
    <xf numFmtId="0" fontId="39" fillId="12" borderId="96" xfId="0" applyFont="1" applyFill="1" applyBorder="1" applyAlignment="1" applyProtection="1">
      <alignment horizontal="center" vertical="center"/>
    </xf>
    <xf numFmtId="0" fontId="27" fillId="12" borderId="95" xfId="0" applyFont="1" applyFill="1" applyBorder="1" applyAlignment="1" applyProtection="1">
      <alignment horizontal="center" vertical="center"/>
    </xf>
    <xf numFmtId="0" fontId="30" fillId="12" borderId="40" xfId="0" applyFont="1" applyFill="1" applyBorder="1" applyAlignment="1" applyProtection="1">
      <alignment vertical="center"/>
    </xf>
    <xf numFmtId="0" fontId="27" fillId="12" borderId="1" xfId="0" applyFont="1" applyFill="1" applyBorder="1" applyAlignment="1">
      <alignment horizontal="center" vertical="center" wrapText="1"/>
    </xf>
    <xf numFmtId="0" fontId="32" fillId="12" borderId="4" xfId="94" applyFont="1" applyFill="1" applyBorder="1" applyAlignment="1" applyProtection="1">
      <alignment horizontal="center" vertical="top"/>
    </xf>
    <xf numFmtId="0" fontId="32" fillId="12" borderId="22" xfId="94" applyFont="1" applyFill="1" applyBorder="1" applyAlignment="1" applyProtection="1">
      <alignment horizontal="center" vertical="top"/>
    </xf>
    <xf numFmtId="0" fontId="32" fillId="12" borderId="5" xfId="94" applyFont="1" applyFill="1" applyBorder="1" applyAlignment="1" applyProtection="1">
      <alignment horizontal="center" vertical="top"/>
    </xf>
    <xf numFmtId="0" fontId="32" fillId="12" borderId="5" xfId="94" applyFont="1" applyFill="1" applyBorder="1" applyAlignment="1" applyProtection="1">
      <alignment vertical="top"/>
    </xf>
    <xf numFmtId="0" fontId="32" fillId="12" borderId="6" xfId="94" applyFont="1" applyFill="1" applyBorder="1" applyAlignment="1" applyProtection="1">
      <alignment horizontal="center" vertical="top"/>
    </xf>
    <xf numFmtId="0" fontId="32" fillId="12" borderId="66" xfId="94" applyFont="1" applyFill="1" applyBorder="1" applyAlignment="1" applyProtection="1">
      <alignment horizontal="center" vertical="top"/>
    </xf>
    <xf numFmtId="0" fontId="32" fillId="12" borderId="67" xfId="94" applyFont="1" applyFill="1" applyBorder="1" applyAlignment="1" applyProtection="1">
      <alignment horizontal="center" vertical="top"/>
    </xf>
    <xf numFmtId="0" fontId="32" fillId="12" borderId="45" xfId="94" applyFont="1" applyFill="1" applyBorder="1" applyAlignment="1" applyProtection="1">
      <alignment horizontal="center" vertical="top"/>
    </xf>
    <xf numFmtId="0" fontId="32" fillId="12" borderId="68" xfId="94" applyFont="1" applyFill="1" applyBorder="1" applyAlignment="1" applyProtection="1">
      <alignment horizontal="center" vertical="top"/>
    </xf>
    <xf numFmtId="0" fontId="32" fillId="12" borderId="68" xfId="94" applyFont="1" applyFill="1" applyBorder="1" applyAlignment="1" applyProtection="1">
      <alignment vertical="top"/>
    </xf>
    <xf numFmtId="0" fontId="32" fillId="12" borderId="69" xfId="94" applyFont="1" applyFill="1" applyBorder="1" applyAlignment="1" applyProtection="1">
      <alignment horizontal="center" vertical="top"/>
    </xf>
    <xf numFmtId="0" fontId="27" fillId="12" borderId="1" xfId="0" applyFont="1" applyFill="1" applyBorder="1" applyAlignment="1">
      <alignment horizontal="center" vertical="center"/>
    </xf>
    <xf numFmtId="0" fontId="27" fillId="12" borderId="1" xfId="0" applyFont="1" applyFill="1" applyBorder="1" applyAlignment="1">
      <alignment vertical="center" wrapText="1"/>
    </xf>
    <xf numFmtId="168" fontId="27" fillId="12" borderId="1" xfId="0" applyNumberFormat="1" applyFont="1" applyFill="1" applyBorder="1" applyAlignment="1">
      <alignment vertical="center"/>
    </xf>
    <xf numFmtId="0" fontId="28" fillId="12" borderId="1" xfId="0" applyFont="1" applyFill="1" applyBorder="1" applyAlignment="1">
      <alignment horizontal="center" vertical="center"/>
    </xf>
    <xf numFmtId="0" fontId="27" fillId="12" borderId="1" xfId="0" applyFont="1" applyFill="1" applyBorder="1" applyAlignment="1">
      <alignment horizontal="right" vertical="center" wrapText="1"/>
    </xf>
    <xf numFmtId="0" fontId="30" fillId="12"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0" fillId="12" borderId="102" xfId="0" applyFont="1" applyFill="1" applyBorder="1" applyAlignment="1">
      <alignment vertical="center"/>
    </xf>
    <xf numFmtId="4" fontId="27" fillId="12" borderId="1" xfId="0" applyNumberFormat="1" applyFont="1" applyFill="1" applyBorder="1" applyAlignment="1">
      <alignment vertical="center"/>
    </xf>
    <xf numFmtId="0" fontId="27" fillId="11" borderId="1" xfId="0" applyFont="1" applyFill="1" applyBorder="1" applyAlignment="1">
      <alignment horizontal="center" vertical="center"/>
    </xf>
    <xf numFmtId="0" fontId="27" fillId="11" borderId="1" xfId="0" applyFont="1" applyFill="1" applyBorder="1" applyAlignment="1">
      <alignment horizontal="centerContinuous" vertical="center" wrapText="1"/>
    </xf>
    <xf numFmtId="168" fontId="27" fillId="11" borderId="1" xfId="0" applyNumberFormat="1" applyFont="1" applyFill="1" applyBorder="1" applyAlignment="1">
      <alignment horizontal="center" vertical="center"/>
    </xf>
    <xf numFmtId="0" fontId="40" fillId="11" borderId="70" xfId="94" applyFont="1" applyFill="1" applyBorder="1" applyAlignment="1" applyProtection="1">
      <alignment horizontal="center" vertical="top" wrapText="1"/>
    </xf>
    <xf numFmtId="0" fontId="40" fillId="11" borderId="71" xfId="94" quotePrefix="1" applyFont="1" applyFill="1" applyBorder="1" applyAlignment="1" applyProtection="1">
      <alignment vertical="top"/>
    </xf>
    <xf numFmtId="0" fontId="41" fillId="11" borderId="71" xfId="94" applyFont="1" applyFill="1" applyBorder="1" applyAlignment="1" applyProtection="1">
      <alignment horizontal="justify" vertical="top" wrapText="1"/>
    </xf>
    <xf numFmtId="4" fontId="41" fillId="11" borderId="71" xfId="94" applyNumberFormat="1" applyFont="1" applyFill="1" applyBorder="1" applyAlignment="1" applyProtection="1">
      <alignment horizontal="right" vertical="top" wrapText="1"/>
    </xf>
    <xf numFmtId="0" fontId="42" fillId="11" borderId="71" xfId="94" applyFont="1" applyFill="1" applyBorder="1" applyAlignment="1" applyProtection="1">
      <alignment vertical="top" wrapText="1"/>
      <protection locked="0"/>
    </xf>
    <xf numFmtId="0" fontId="41" fillId="11" borderId="71" xfId="94" applyFont="1" applyFill="1" applyBorder="1" applyAlignment="1" applyProtection="1">
      <alignment horizontal="center" vertical="center" wrapText="1"/>
      <protection locked="0"/>
    </xf>
    <xf numFmtId="4" fontId="40" fillId="11" borderId="72" xfId="94" applyNumberFormat="1" applyFont="1" applyFill="1" applyBorder="1" applyAlignment="1" applyProtection="1">
      <alignment horizontal="right" vertical="top" wrapText="1"/>
    </xf>
    <xf numFmtId="0" fontId="40" fillId="11" borderId="73" xfId="94" applyFont="1" applyFill="1" applyBorder="1" applyAlignment="1" applyProtection="1">
      <alignment horizontal="center" vertical="top" wrapText="1"/>
    </xf>
    <xf numFmtId="0" fontId="40" fillId="11" borderId="74" xfId="94" quotePrefix="1" applyFont="1" applyFill="1" applyBorder="1" applyAlignment="1" applyProtection="1">
      <alignment vertical="top"/>
    </xf>
    <xf numFmtId="0" fontId="41" fillId="11" borderId="74" xfId="94" applyFont="1" applyFill="1" applyBorder="1" applyAlignment="1" applyProtection="1">
      <alignment horizontal="justify" vertical="top" wrapText="1"/>
    </xf>
    <xf numFmtId="4" fontId="41" fillId="11" borderId="74" xfId="94" applyNumberFormat="1" applyFont="1" applyFill="1" applyBorder="1" applyAlignment="1" applyProtection="1">
      <alignment horizontal="right" vertical="top" wrapText="1"/>
    </xf>
    <xf numFmtId="0" fontId="42" fillId="11" borderId="74" xfId="94" applyFont="1" applyFill="1" applyBorder="1" applyAlignment="1" applyProtection="1">
      <alignment vertical="top" wrapText="1"/>
      <protection locked="0"/>
    </xf>
    <xf numFmtId="0" fontId="41" fillId="11" borderId="74" xfId="94" applyFont="1" applyFill="1" applyBorder="1" applyAlignment="1" applyProtection="1">
      <alignment horizontal="center" vertical="center" wrapText="1"/>
      <protection locked="0"/>
    </xf>
    <xf numFmtId="4" fontId="40" fillId="11" borderId="75" xfId="94" applyNumberFormat="1" applyFont="1" applyFill="1" applyBorder="1" applyAlignment="1" applyProtection="1">
      <alignment horizontal="right" vertical="top"/>
    </xf>
    <xf numFmtId="4" fontId="40" fillId="11" borderId="75" xfId="94" applyNumberFormat="1" applyFont="1" applyFill="1" applyBorder="1" applyAlignment="1" applyProtection="1">
      <alignment horizontal="right" vertical="top" wrapText="1"/>
    </xf>
    <xf numFmtId="0" fontId="27" fillId="11" borderId="82" xfId="0" applyFont="1" applyFill="1" applyBorder="1" applyAlignment="1">
      <alignment horizontal="center" vertical="center" wrapText="1"/>
    </xf>
    <xf numFmtId="4" fontId="28" fillId="12" borderId="42" xfId="0" applyNumberFormat="1" applyFont="1" applyFill="1" applyBorder="1" applyAlignment="1">
      <alignment vertical="center"/>
    </xf>
    <xf numFmtId="0" fontId="27" fillId="0" borderId="51" xfId="0" applyFont="1" applyBorder="1" applyAlignment="1" applyProtection="1">
      <alignment horizontal="right" vertical="center"/>
    </xf>
    <xf numFmtId="0" fontId="29" fillId="0" borderId="119" xfId="0" applyFont="1" applyFill="1" applyBorder="1" applyAlignment="1">
      <alignment horizontal="center" vertical="center" wrapText="1"/>
    </xf>
    <xf numFmtId="1" fontId="29" fillId="0" borderId="66" xfId="0" applyNumberFormat="1"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3" xfId="0" applyFont="1" applyFill="1" applyBorder="1" applyAlignment="1">
      <alignment horizontal="center" vertical="center"/>
    </xf>
    <xf numFmtId="0" fontId="11" fillId="0" borderId="0" xfId="0" applyFont="1"/>
    <xf numFmtId="0" fontId="17" fillId="0" borderId="83" xfId="34" applyFont="1" applyBorder="1" applyAlignment="1" applyProtection="1">
      <alignment horizontal="center" vertical="center" wrapText="1"/>
      <protection locked="0"/>
    </xf>
    <xf numFmtId="2" fontId="17" fillId="0" borderId="83" xfId="2264" applyNumberFormat="1" applyFont="1" applyBorder="1" applyAlignment="1" applyProtection="1">
      <alignment horizontal="center" vertical="center" wrapText="1"/>
      <protection locked="0"/>
    </xf>
    <xf numFmtId="1" fontId="28" fillId="0" borderId="26" xfId="212" applyNumberFormat="1" applyFont="1" applyFill="1" applyBorder="1" applyAlignment="1" applyProtection="1">
      <alignment horizontal="center" vertical="center" wrapText="1"/>
      <protection locked="0"/>
    </xf>
    <xf numFmtId="0" fontId="17" fillId="0" borderId="25" xfId="2264" applyFont="1" applyFill="1" applyBorder="1" applyAlignment="1" applyProtection="1">
      <alignment horizontal="center" vertical="center" wrapText="1"/>
      <protection locked="0"/>
    </xf>
    <xf numFmtId="1" fontId="27" fillId="0" borderId="26" xfId="34" applyNumberFormat="1" applyFont="1" applyFill="1" applyBorder="1" applyAlignment="1" applyProtection="1">
      <alignment horizontal="center" vertical="center" wrapText="1"/>
    </xf>
    <xf numFmtId="1" fontId="31" fillId="6" borderId="26" xfId="212" applyNumberFormat="1" applyFont="1" applyFill="1" applyBorder="1" applyAlignment="1" applyProtection="1">
      <alignment horizontal="center" vertical="center" wrapText="1"/>
      <protection locked="0"/>
    </xf>
    <xf numFmtId="1" fontId="31" fillId="6" borderId="24" xfId="34" applyNumberFormat="1" applyFont="1" applyFill="1" applyBorder="1" applyAlignment="1" applyProtection="1">
      <alignment horizontal="center" vertical="center" wrapText="1"/>
      <protection locked="0"/>
    </xf>
    <xf numFmtId="1" fontId="31" fillId="6" borderId="119" xfId="212" applyNumberFormat="1" applyFont="1" applyFill="1" applyBorder="1" applyAlignment="1" applyProtection="1">
      <alignment horizontal="center" vertical="center" wrapText="1"/>
      <protection locked="0"/>
    </xf>
    <xf numFmtId="1" fontId="31" fillId="6" borderId="66" xfId="34" applyNumberFormat="1" applyFont="1" applyFill="1" applyBorder="1" applyAlignment="1" applyProtection="1">
      <alignment horizontal="center" vertical="center" wrapText="1"/>
      <protection locked="0"/>
    </xf>
    <xf numFmtId="0" fontId="31" fillId="6" borderId="26" xfId="0" applyFont="1" applyFill="1" applyBorder="1" applyAlignment="1" applyProtection="1">
      <alignment vertical="center" wrapText="1"/>
    </xf>
    <xf numFmtId="0" fontId="31" fillId="6" borderId="24" xfId="2264" applyFont="1" applyFill="1" applyBorder="1" applyAlignment="1" applyProtection="1">
      <alignment horizontal="justify" vertical="center" wrapText="1"/>
      <protection locked="0"/>
    </xf>
    <xf numFmtId="0" fontId="31" fillId="6" borderId="24" xfId="0" applyFont="1" applyFill="1" applyBorder="1" applyAlignment="1" applyProtection="1">
      <alignment horizontal="justify" vertical="center" wrapText="1"/>
    </xf>
    <xf numFmtId="0" fontId="31" fillId="0" borderId="26" xfId="0" applyFont="1" applyFill="1" applyBorder="1" applyAlignment="1" applyProtection="1">
      <alignment vertical="center" wrapText="1"/>
    </xf>
    <xf numFmtId="0" fontId="31" fillId="0" borderId="24" xfId="2264" applyFont="1" applyFill="1" applyBorder="1" applyAlignment="1" applyProtection="1">
      <alignment horizontal="justify" vertical="center" wrapText="1"/>
      <protection locked="0"/>
    </xf>
    <xf numFmtId="1" fontId="60" fillId="0" borderId="26" xfId="212" applyNumberFormat="1" applyFont="1" applyFill="1" applyBorder="1" applyAlignment="1" applyProtection="1">
      <alignment horizontal="center" vertical="center" wrapText="1"/>
      <protection locked="0"/>
    </xf>
    <xf numFmtId="1" fontId="60" fillId="0" borderId="24" xfId="0" applyNumberFormat="1" applyFont="1" applyFill="1" applyBorder="1" applyAlignment="1" applyProtection="1">
      <alignment horizontal="center" vertical="center" wrapText="1"/>
      <protection locked="0"/>
    </xf>
    <xf numFmtId="1" fontId="60" fillId="0" borderId="26" xfId="0" quotePrefix="1" applyNumberFormat="1" applyFont="1" applyFill="1" applyBorder="1" applyAlignment="1" applyProtection="1">
      <alignment horizontal="center" vertical="center" wrapText="1"/>
    </xf>
    <xf numFmtId="1" fontId="27" fillId="0" borderId="26" xfId="0" applyNumberFormat="1" applyFont="1" applyFill="1" applyBorder="1" applyAlignment="1" applyProtection="1">
      <alignment horizontal="center" vertical="center" wrapText="1"/>
    </xf>
    <xf numFmtId="1" fontId="27" fillId="0" borderId="24" xfId="0" applyNumberFormat="1" applyFont="1" applyFill="1" applyBorder="1" applyAlignment="1" applyProtection="1">
      <alignment horizontal="center" vertical="center" wrapText="1"/>
      <protection locked="0"/>
    </xf>
    <xf numFmtId="1" fontId="28" fillId="6" borderId="26" xfId="0" applyNumberFormat="1" applyFont="1" applyFill="1" applyBorder="1" applyAlignment="1" applyProtection="1">
      <alignment horizontal="center" vertical="center" wrapText="1"/>
      <protection locked="0"/>
    </xf>
    <xf numFmtId="1" fontId="28" fillId="6" borderId="24" xfId="0" applyNumberFormat="1" applyFont="1" applyFill="1" applyBorder="1" applyAlignment="1" applyProtection="1">
      <alignment horizontal="center" vertical="center" wrapText="1"/>
      <protection locked="0"/>
    </xf>
    <xf numFmtId="1" fontId="28" fillId="0" borderId="26" xfId="0" applyNumberFormat="1" applyFont="1" applyFill="1" applyBorder="1" applyAlignment="1" applyProtection="1">
      <alignment horizontal="center" vertical="center" wrapText="1"/>
    </xf>
    <xf numFmtId="1" fontId="28" fillId="0" borderId="24" xfId="0" applyNumberFormat="1" applyFont="1" applyFill="1" applyBorder="1" applyAlignment="1" applyProtection="1">
      <alignment horizontal="center" vertical="center"/>
      <protection locked="0"/>
    </xf>
    <xf numFmtId="1" fontId="34" fillId="0" borderId="26" xfId="0" applyNumberFormat="1" applyFont="1" applyFill="1" applyBorder="1" applyAlignment="1" applyProtection="1">
      <alignment horizontal="center" vertical="center" wrapText="1"/>
    </xf>
    <xf numFmtId="1" fontId="34" fillId="0" borderId="24" xfId="0" applyNumberFormat="1" applyFont="1" applyFill="1" applyBorder="1" applyAlignment="1" applyProtection="1">
      <alignment horizontal="center" vertical="center" wrapText="1"/>
      <protection locked="0"/>
    </xf>
    <xf numFmtId="1" fontId="34" fillId="0" borderId="26" xfId="212" applyNumberFormat="1" applyFont="1" applyFill="1" applyBorder="1" applyAlignment="1" applyProtection="1">
      <alignment horizontal="center" vertical="center" wrapText="1"/>
      <protection locked="0"/>
    </xf>
    <xf numFmtId="2" fontId="17" fillId="0" borderId="83" xfId="2264" applyNumberFormat="1" applyFont="1" applyFill="1" applyBorder="1" applyAlignment="1" applyProtection="1">
      <alignment horizontal="center" vertical="center" wrapText="1"/>
      <protection locked="0"/>
    </xf>
    <xf numFmtId="0" fontId="11" fillId="0" borderId="25" xfId="34" applyFont="1" applyFill="1" applyBorder="1" applyAlignment="1">
      <alignment horizontal="justify" vertical="center" wrapText="1"/>
    </xf>
    <xf numFmtId="0" fontId="11" fillId="0" borderId="85" xfId="34" applyFont="1" applyFill="1" applyBorder="1" applyAlignment="1">
      <alignment horizontal="justify" vertical="center" wrapText="1"/>
    </xf>
    <xf numFmtId="0" fontId="11" fillId="0" borderId="83" xfId="34" applyFont="1" applyFill="1" applyBorder="1" applyAlignment="1">
      <alignment horizontal="justify" vertical="center" wrapText="1"/>
    </xf>
    <xf numFmtId="0" fontId="11" fillId="0" borderId="83" xfId="2264" applyFont="1" applyFill="1" applyBorder="1" applyAlignment="1" applyProtection="1">
      <alignment horizontal="justify" vertical="center" wrapText="1"/>
      <protection locked="0"/>
    </xf>
    <xf numFmtId="0" fontId="11" fillId="0" borderId="83" xfId="34" applyFont="1" applyFill="1" applyBorder="1" applyAlignment="1" applyProtection="1">
      <alignment horizontal="justify" vertical="center" wrapText="1"/>
    </xf>
    <xf numFmtId="0" fontId="11" fillId="0" borderId="83" xfId="212" applyFont="1" applyFill="1" applyBorder="1" applyAlignment="1" applyProtection="1">
      <alignment horizontal="justify" vertical="center" wrapText="1"/>
      <protection locked="0"/>
    </xf>
    <xf numFmtId="0" fontId="11" fillId="0" borderId="83" xfId="2264" applyNumberFormat="1" applyFont="1" applyFill="1" applyBorder="1" applyAlignment="1" applyProtection="1">
      <alignment horizontal="justify" vertical="center" wrapText="1"/>
      <protection locked="0"/>
    </xf>
    <xf numFmtId="0" fontId="11" fillId="0" borderId="83" xfId="34" applyFont="1" applyFill="1" applyBorder="1" applyAlignment="1" applyProtection="1">
      <alignment horizontal="justify" vertical="center" wrapText="1"/>
      <protection locked="0"/>
    </xf>
    <xf numFmtId="0" fontId="11" fillId="0" borderId="80" xfId="212" applyFont="1" applyFill="1" applyBorder="1" applyAlignment="1" applyProtection="1">
      <alignment horizontal="justify" vertical="center" wrapText="1"/>
      <protection locked="0"/>
    </xf>
    <xf numFmtId="0" fontId="11" fillId="0" borderId="80" xfId="212" applyFont="1" applyFill="1" applyBorder="1" applyAlignment="1" applyProtection="1">
      <alignment horizontal="left" vertical="center" wrapText="1"/>
      <protection locked="0"/>
    </xf>
    <xf numFmtId="0" fontId="11" fillId="0" borderId="81" xfId="212" applyFont="1" applyFill="1" applyBorder="1" applyAlignment="1" applyProtection="1">
      <alignment horizontal="justify" vertical="center" wrapText="1"/>
      <protection locked="0"/>
    </xf>
    <xf numFmtId="49" fontId="16" fillId="6" borderId="80" xfId="34" applyNumberFormat="1" applyFont="1" applyFill="1" applyBorder="1" applyAlignment="1" applyProtection="1">
      <alignment horizontal="center" vertical="center" wrapText="1"/>
    </xf>
    <xf numFmtId="49" fontId="16" fillId="0" borderId="80" xfId="34" applyNumberFormat="1" applyFont="1" applyFill="1" applyBorder="1" applyAlignment="1" applyProtection="1">
      <alignment horizontal="center" vertical="center" wrapText="1"/>
    </xf>
    <xf numFmtId="0" fontId="16" fillId="0" borderId="80" xfId="34" applyFont="1" applyFill="1" applyBorder="1" applyAlignment="1" applyProtection="1">
      <alignment horizontal="center" vertical="center" wrapText="1"/>
      <protection locked="0"/>
    </xf>
    <xf numFmtId="0" fontId="16" fillId="0" borderId="80" xfId="34" applyFont="1" applyBorder="1" applyAlignment="1" applyProtection="1">
      <alignment horizontal="center" vertical="center" wrapText="1"/>
      <protection locked="0"/>
    </xf>
    <xf numFmtId="0" fontId="16" fillId="0" borderId="80" xfId="0" applyFont="1" applyBorder="1" applyAlignment="1" applyProtection="1">
      <alignment horizontal="center" vertical="center" wrapText="1"/>
      <protection locked="0"/>
    </xf>
    <xf numFmtId="0" fontId="61" fillId="0" borderId="80" xfId="0" applyFont="1" applyBorder="1" applyAlignment="1" applyProtection="1">
      <alignment horizontal="center" vertical="center" wrapText="1"/>
      <protection locked="0"/>
    </xf>
    <xf numFmtId="49" fontId="16" fillId="0" borderId="80" xfId="34" applyNumberFormat="1" applyFont="1" applyBorder="1" applyAlignment="1">
      <alignment horizontal="center" vertical="center" wrapText="1"/>
    </xf>
    <xf numFmtId="0" fontId="16" fillId="0" borderId="80" xfId="34" applyFont="1" applyFill="1" applyBorder="1" applyAlignment="1" applyProtection="1">
      <alignment horizontal="center" vertical="center" wrapText="1"/>
    </xf>
    <xf numFmtId="0" fontId="17" fillId="0" borderId="83" xfId="2264" applyFont="1" applyFill="1" applyBorder="1" applyAlignment="1" applyProtection="1">
      <alignment horizontal="center" vertical="center" wrapText="1"/>
      <protection locked="0"/>
    </xf>
    <xf numFmtId="0" fontId="17" fillId="0" borderId="83" xfId="173" applyFont="1" applyFill="1" applyBorder="1" applyAlignment="1">
      <alignment horizontal="center" vertical="center" wrapText="1"/>
    </xf>
    <xf numFmtId="0" fontId="17" fillId="0" borderId="83" xfId="204" applyFont="1" applyFill="1" applyBorder="1" applyAlignment="1">
      <alignment horizontal="center" vertical="center" wrapText="1"/>
    </xf>
    <xf numFmtId="0" fontId="17" fillId="0" borderId="83" xfId="45" applyFont="1" applyFill="1" applyBorder="1" applyAlignment="1">
      <alignment horizontal="center" vertical="center" wrapText="1"/>
    </xf>
    <xf numFmtId="0" fontId="17" fillId="6" borderId="83" xfId="2264" applyFont="1" applyFill="1" applyBorder="1" applyAlignment="1" applyProtection="1">
      <alignment horizontal="center" vertical="center" wrapText="1"/>
      <protection locked="0"/>
    </xf>
    <xf numFmtId="0" fontId="17" fillId="0" borderId="83" xfId="34" applyFont="1" applyFill="1" applyBorder="1" applyAlignment="1" applyProtection="1">
      <alignment horizontal="center" vertical="center" wrapText="1"/>
      <protection locked="0"/>
    </xf>
    <xf numFmtId="0" fontId="17" fillId="0" borderId="83" xfId="34" applyFont="1" applyFill="1" applyBorder="1" applyAlignment="1">
      <alignment horizontal="center" vertical="center" wrapText="1"/>
    </xf>
    <xf numFmtId="0" fontId="17" fillId="0" borderId="83" xfId="212" applyFont="1" applyBorder="1" applyAlignment="1" applyProtection="1">
      <alignment horizontal="center" vertical="center" wrapText="1"/>
      <protection locked="0"/>
    </xf>
    <xf numFmtId="0" fontId="17" fillId="0" borderId="83" xfId="212"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28" fillId="0" borderId="83" xfId="0" applyFont="1" applyBorder="1" applyAlignment="1">
      <alignment vertical="center"/>
    </xf>
    <xf numFmtId="0" fontId="28" fillId="0" borderId="84" xfId="0" applyFont="1" applyBorder="1" applyAlignment="1">
      <alignment vertical="center"/>
    </xf>
    <xf numFmtId="0" fontId="28" fillId="0" borderId="86" xfId="0" applyFont="1" applyBorder="1" applyAlignment="1">
      <alignment vertical="center"/>
    </xf>
    <xf numFmtId="0" fontId="11" fillId="0" borderId="135" xfId="34" applyFont="1" applyFill="1" applyBorder="1" applyAlignment="1">
      <alignment horizontal="justify" vertical="center" wrapText="1"/>
    </xf>
    <xf numFmtId="0" fontId="11" fillId="0" borderId="80" xfId="34" applyFont="1" applyFill="1" applyBorder="1" applyAlignment="1">
      <alignment horizontal="justify" vertical="center" wrapText="1"/>
    </xf>
    <xf numFmtId="0" fontId="11" fillId="0" borderId="80" xfId="34" applyFont="1" applyFill="1" applyBorder="1" applyAlignment="1" applyProtection="1">
      <alignment horizontal="justify" vertical="center" wrapText="1"/>
    </xf>
    <xf numFmtId="0" fontId="11" fillId="6" borderId="83" xfId="34" applyFont="1" applyFill="1" applyBorder="1" applyAlignment="1">
      <alignment horizontal="justify" vertical="center" wrapText="1"/>
    </xf>
    <xf numFmtId="0" fontId="11" fillId="6" borderId="83" xfId="2264" applyFont="1" applyFill="1" applyBorder="1" applyAlignment="1" applyProtection="1">
      <alignment horizontal="justify" vertical="center" wrapText="1"/>
      <protection locked="0"/>
    </xf>
    <xf numFmtId="0" fontId="11" fillId="6" borderId="83" xfId="173" applyFont="1" applyFill="1" applyBorder="1" applyAlignment="1">
      <alignment horizontal="justify" vertical="center" wrapText="1"/>
    </xf>
    <xf numFmtId="0" fontId="11" fillId="6" borderId="83" xfId="45" applyFont="1" applyFill="1" applyBorder="1" applyAlignment="1">
      <alignment horizontal="justify" vertical="center" wrapText="1"/>
    </xf>
    <xf numFmtId="0" fontId="11" fillId="0" borderId="83" xfId="0" applyFont="1" applyFill="1" applyBorder="1" applyAlignment="1" applyProtection="1">
      <alignment horizontal="justify" vertical="center" wrapText="1"/>
    </xf>
    <xf numFmtId="0" fontId="11" fillId="0" borderId="83" xfId="0" applyFont="1" applyBorder="1" applyAlignment="1">
      <alignment horizontal="justify" vertical="center" wrapText="1"/>
    </xf>
    <xf numFmtId="0" fontId="11" fillId="0" borderId="83" xfId="212" applyFont="1" applyBorder="1" applyAlignment="1" applyProtection="1">
      <alignment horizontal="justify" vertical="center" wrapText="1"/>
      <protection locked="0"/>
    </xf>
    <xf numFmtId="0" fontId="11" fillId="0" borderId="83" xfId="34" applyFont="1" applyBorder="1" applyAlignment="1">
      <alignment horizontal="justify" vertical="center" wrapText="1"/>
    </xf>
    <xf numFmtId="0" fontId="11" fillId="0" borderId="83" xfId="0" applyFont="1" applyBorder="1" applyAlignment="1" applyProtection="1">
      <alignment horizontal="justify" vertical="center" wrapText="1"/>
    </xf>
    <xf numFmtId="0" fontId="11" fillId="0" borderId="83" xfId="0" applyFont="1" applyFill="1" applyBorder="1" applyAlignment="1" applyProtection="1">
      <alignment horizontal="justify" vertical="center" wrapText="1"/>
      <protection locked="0"/>
    </xf>
    <xf numFmtId="0" fontId="11" fillId="6" borderId="83" xfId="95" applyFont="1" applyFill="1" applyBorder="1" applyAlignment="1" applyProtection="1">
      <alignment horizontal="justify" vertical="center" wrapText="1"/>
    </xf>
    <xf numFmtId="0" fontId="11" fillId="6" borderId="83" xfId="212" applyFont="1" applyFill="1" applyBorder="1" applyAlignment="1" applyProtection="1">
      <alignment horizontal="justify" vertical="center" wrapText="1"/>
      <protection locked="0"/>
    </xf>
    <xf numFmtId="0" fontId="11" fillId="0" borderId="83" xfId="95" applyFont="1" applyFill="1" applyBorder="1" applyAlignment="1" applyProtection="1">
      <alignment horizontal="justify" vertical="center" wrapText="1"/>
    </xf>
    <xf numFmtId="0" fontId="11" fillId="0" borderId="86" xfId="34" applyFont="1" applyFill="1" applyBorder="1" applyAlignment="1" applyProtection="1">
      <alignment horizontal="justify" vertical="center" wrapText="1"/>
    </xf>
    <xf numFmtId="0" fontId="11" fillId="0" borderId="83" xfId="173" applyFont="1" applyFill="1" applyBorder="1" applyAlignment="1">
      <alignment horizontal="justify" vertical="center" wrapText="1"/>
    </xf>
    <xf numFmtId="0" fontId="11" fillId="0" borderId="83" xfId="204" applyFont="1" applyFill="1" applyBorder="1" applyAlignment="1">
      <alignment horizontal="justify" vertical="center" wrapText="1"/>
    </xf>
    <xf numFmtId="0" fontId="11" fillId="0" borderId="83" xfId="45" applyFont="1" applyFill="1" applyBorder="1" applyAlignment="1">
      <alignment horizontal="justify" vertical="center" wrapText="1"/>
    </xf>
    <xf numFmtId="2" fontId="11" fillId="0" borderId="83" xfId="0" applyNumberFormat="1" applyFont="1" applyBorder="1" applyAlignment="1">
      <alignment horizontal="justify" vertical="center" wrapText="1"/>
    </xf>
    <xf numFmtId="0" fontId="57" fillId="0" borderId="83" xfId="0" applyFont="1" applyBorder="1" applyAlignment="1">
      <alignment horizontal="justify" vertical="center" wrapText="1"/>
    </xf>
    <xf numFmtId="0" fontId="11" fillId="6" borderId="83" xfId="0" applyFont="1" applyFill="1" applyBorder="1" applyAlignment="1" applyProtection="1">
      <alignment horizontal="justify" vertical="center" wrapText="1"/>
      <protection locked="0"/>
    </xf>
    <xf numFmtId="0" fontId="17" fillId="0" borderId="83" xfId="2264" applyFont="1" applyFill="1" applyBorder="1" applyAlignment="1" applyProtection="1">
      <alignment horizontal="justify" vertical="center" wrapText="1"/>
      <protection locked="0"/>
    </xf>
    <xf numFmtId="0" fontId="17" fillId="0" borderId="83" xfId="34" applyNumberFormat="1" applyFont="1" applyFill="1" applyBorder="1" applyAlignment="1" applyProtection="1">
      <alignment horizontal="center" vertical="center" wrapText="1"/>
    </xf>
    <xf numFmtId="176" fontId="19" fillId="0" borderId="1" xfId="34" applyNumberFormat="1" applyFont="1" applyBorder="1" applyAlignment="1" applyProtection="1">
      <alignment vertical="center"/>
      <protection locked="0"/>
    </xf>
    <xf numFmtId="176" fontId="19" fillId="0" borderId="1" xfId="34" applyNumberFormat="1" applyFont="1" applyFill="1" applyBorder="1" applyAlignment="1" applyProtection="1">
      <alignment vertical="center"/>
      <protection locked="0"/>
    </xf>
    <xf numFmtId="176" fontId="64" fillId="0" borderId="1" xfId="34" applyNumberFormat="1" applyFont="1" applyBorder="1" applyAlignment="1" applyProtection="1">
      <alignment vertical="center"/>
    </xf>
    <xf numFmtId="0" fontId="30" fillId="12" borderId="142" xfId="0" applyFont="1" applyFill="1" applyBorder="1" applyAlignment="1" applyProtection="1">
      <alignment horizontal="center" vertical="center"/>
    </xf>
    <xf numFmtId="0" fontId="30" fillId="12" borderId="141" xfId="0" applyFont="1" applyFill="1" applyBorder="1" applyAlignment="1" applyProtection="1">
      <alignment horizontal="center" vertical="center"/>
    </xf>
    <xf numFmtId="0" fontId="30" fillId="12" borderId="143" xfId="0" applyFont="1" applyFill="1" applyBorder="1" applyAlignment="1" applyProtection="1">
      <alignment horizontal="center" vertical="center"/>
    </xf>
    <xf numFmtId="0" fontId="27" fillId="11" borderId="127" xfId="0" applyFont="1" applyFill="1" applyBorder="1" applyAlignment="1" applyProtection="1">
      <alignment horizontal="center" vertical="center"/>
    </xf>
    <xf numFmtId="0" fontId="27" fillId="11" borderId="40" xfId="0" applyFont="1" applyFill="1" applyBorder="1" applyAlignment="1" applyProtection="1">
      <alignment horizontal="center" vertical="center"/>
    </xf>
    <xf numFmtId="0" fontId="27" fillId="11" borderId="127" xfId="0" applyFont="1" applyFill="1" applyBorder="1" applyAlignment="1" applyProtection="1">
      <alignment horizontal="left" vertical="center"/>
    </xf>
    <xf numFmtId="1" fontId="27" fillId="11" borderId="122" xfId="0" applyNumberFormat="1" applyFont="1" applyFill="1" applyBorder="1" applyAlignment="1" applyProtection="1">
      <alignment horizontal="center" vertical="center"/>
    </xf>
    <xf numFmtId="0" fontId="27" fillId="11" borderId="122" xfId="0" applyFont="1" applyFill="1" applyBorder="1" applyAlignment="1" applyProtection="1">
      <alignment horizontal="center" vertical="center"/>
    </xf>
    <xf numFmtId="1" fontId="28" fillId="0" borderId="119" xfId="212" applyNumberFormat="1" applyFont="1" applyFill="1" applyBorder="1" applyAlignment="1" applyProtection="1">
      <alignment horizontal="center" vertical="center" wrapText="1"/>
      <protection locked="0"/>
    </xf>
    <xf numFmtId="0" fontId="16" fillId="0" borderId="135" xfId="34" applyFont="1" applyFill="1" applyBorder="1" applyAlignment="1" applyProtection="1">
      <alignment horizontal="center" vertical="center" wrapText="1"/>
      <protection locked="0"/>
    </xf>
    <xf numFmtId="176" fontId="19" fillId="0" borderId="1" xfId="0" applyNumberFormat="1" applyFont="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6" fontId="19" fillId="0" borderId="1" xfId="34" applyNumberFormat="1" applyFont="1" applyFill="1" applyBorder="1" applyAlignment="1" applyProtection="1">
      <alignment vertical="center" wrapText="1"/>
      <protection locked="0"/>
    </xf>
    <xf numFmtId="176" fontId="19" fillId="6" borderId="1" xfId="34" applyNumberFormat="1" applyFont="1" applyFill="1" applyBorder="1" applyAlignment="1" applyProtection="1">
      <alignment vertical="center" wrapText="1"/>
      <protection locked="0"/>
    </xf>
    <xf numFmtId="176" fontId="19" fillId="0" borderId="1" xfId="173" applyNumberFormat="1" applyFont="1" applyFill="1" applyBorder="1" applyAlignment="1">
      <alignment vertical="center"/>
    </xf>
    <xf numFmtId="176" fontId="19" fillId="0" borderId="1" xfId="173" applyNumberFormat="1" applyFont="1" applyFill="1" applyBorder="1" applyAlignment="1" applyProtection="1">
      <alignment vertical="center" wrapText="1"/>
      <protection locked="0"/>
    </xf>
    <xf numFmtId="176" fontId="19" fillId="0" borderId="1" xfId="204" applyNumberFormat="1" applyFont="1" applyFill="1" applyBorder="1" applyAlignment="1">
      <alignment vertical="center"/>
    </xf>
    <xf numFmtId="176" fontId="19" fillId="0" borderId="1" xfId="204" applyNumberFormat="1" applyFont="1" applyFill="1" applyBorder="1" applyAlignment="1" applyProtection="1">
      <alignment vertical="center" wrapText="1"/>
      <protection locked="0"/>
    </xf>
    <xf numFmtId="176" fontId="19" fillId="0" borderId="1" xfId="45" applyNumberFormat="1" applyFont="1" applyFill="1" applyBorder="1" applyAlignment="1"/>
    <xf numFmtId="176" fontId="19" fillId="0" borderId="1" xfId="45" applyNumberFormat="1" applyFont="1" applyFill="1" applyBorder="1" applyAlignment="1" applyProtection="1">
      <alignment vertical="center" wrapText="1"/>
      <protection locked="0"/>
    </xf>
    <xf numFmtId="176" fontId="19" fillId="6" borderId="1" xfId="45" applyNumberFormat="1" applyFont="1" applyFill="1" applyBorder="1" applyAlignment="1" applyProtection="1">
      <alignment vertical="center" wrapText="1"/>
      <protection locked="0"/>
    </xf>
    <xf numFmtId="176" fontId="19" fillId="0" borderId="1" xfId="0" applyNumberFormat="1" applyFont="1" applyFill="1" applyBorder="1" applyAlignment="1" applyProtection="1">
      <alignment vertical="center" wrapText="1"/>
    </xf>
    <xf numFmtId="176" fontId="19" fillId="0" borderId="1" xfId="0" applyNumberFormat="1" applyFont="1" applyFill="1" applyBorder="1" applyAlignment="1" applyProtection="1">
      <alignment vertical="center" wrapText="1"/>
      <protection locked="0"/>
    </xf>
    <xf numFmtId="176" fontId="19" fillId="6" borderId="1" xfId="0" applyNumberFormat="1" applyFont="1" applyFill="1" applyBorder="1" applyAlignment="1" applyProtection="1">
      <alignment vertical="center" wrapText="1"/>
      <protection locked="0"/>
    </xf>
    <xf numFmtId="176" fontId="64" fillId="6" borderId="1" xfId="0" applyNumberFormat="1" applyFont="1" applyFill="1" applyBorder="1" applyAlignment="1" applyProtection="1">
      <alignment vertical="center"/>
    </xf>
    <xf numFmtId="176" fontId="19" fillId="6" borderId="1" xfId="0" applyNumberFormat="1" applyFont="1" applyFill="1" applyBorder="1" applyAlignment="1" applyProtection="1">
      <alignment vertical="center"/>
    </xf>
    <xf numFmtId="176" fontId="19" fillId="0" borderId="1" xfId="0" applyNumberFormat="1" applyFont="1" applyBorder="1" applyAlignment="1">
      <alignment vertical="center" wrapText="1"/>
    </xf>
    <xf numFmtId="176" fontId="19" fillId="0" borderId="1" xfId="34" applyNumberFormat="1" applyFont="1" applyBorder="1" applyAlignment="1" applyProtection="1">
      <alignment vertical="center" wrapText="1"/>
      <protection locked="0"/>
    </xf>
    <xf numFmtId="176" fontId="19" fillId="0" borderId="1" xfId="0" applyNumberFormat="1" applyFont="1" applyFill="1" applyBorder="1" applyAlignment="1">
      <alignment vertical="center"/>
    </xf>
    <xf numFmtId="176" fontId="19" fillId="0" borderId="1" xfId="0" applyNumberFormat="1" applyFont="1" applyFill="1" applyBorder="1" applyAlignment="1">
      <alignment vertical="center" wrapText="1"/>
    </xf>
    <xf numFmtId="176" fontId="19" fillId="0" borderId="1" xfId="0" applyNumberFormat="1" applyFont="1" applyBorder="1" applyAlignment="1">
      <alignment vertical="center"/>
    </xf>
    <xf numFmtId="176" fontId="64" fillId="0" borderId="1" xfId="0" applyNumberFormat="1" applyFont="1" applyBorder="1" applyAlignment="1">
      <alignment vertical="center"/>
    </xf>
    <xf numFmtId="176" fontId="19" fillId="0" borderId="1" xfId="224" applyNumberFormat="1" applyFont="1" applyBorder="1" applyAlignment="1" applyProtection="1">
      <alignment vertical="center" wrapText="1"/>
      <protection locked="0"/>
    </xf>
    <xf numFmtId="176" fontId="19" fillId="0" borderId="1" xfId="0" applyNumberFormat="1" applyFont="1" applyFill="1" applyBorder="1" applyAlignment="1" applyProtection="1">
      <alignment vertical="center"/>
    </xf>
    <xf numFmtId="176" fontId="64" fillId="0" borderId="1" xfId="0" applyNumberFormat="1" applyFont="1" applyFill="1" applyBorder="1" applyAlignment="1" applyProtection="1">
      <alignment vertical="center"/>
    </xf>
    <xf numFmtId="176" fontId="19" fillId="0" borderId="1" xfId="34" applyNumberFormat="1" applyFont="1" applyFill="1" applyBorder="1" applyAlignment="1" applyProtection="1">
      <alignment vertical="center"/>
    </xf>
    <xf numFmtId="176" fontId="19" fillId="0" borderId="1" xfId="34" applyNumberFormat="1" applyFont="1" applyFill="1" applyBorder="1" applyAlignment="1" applyProtection="1">
      <alignment vertical="top" wrapText="1"/>
      <protection locked="0"/>
    </xf>
    <xf numFmtId="0" fontId="16" fillId="0" borderId="80" xfId="0" applyFont="1" applyBorder="1" applyAlignment="1">
      <alignment horizontal="center" vertical="center" wrapText="1"/>
    </xf>
    <xf numFmtId="0" fontId="16" fillId="6" borderId="80" xfId="34" applyFont="1" applyFill="1" applyBorder="1" applyAlignment="1" applyProtection="1">
      <alignment horizontal="center" vertical="center" wrapText="1"/>
      <protection locked="0"/>
    </xf>
    <xf numFmtId="0" fontId="16" fillId="0" borderId="80"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wrapText="1"/>
      <protection locked="0"/>
    </xf>
    <xf numFmtId="176" fontId="19" fillId="0" borderId="13" xfId="0" applyNumberFormat="1" applyFont="1" applyFill="1" applyBorder="1" applyAlignment="1" applyProtection="1">
      <alignment vertical="center" wrapText="1"/>
      <protection locked="0"/>
    </xf>
    <xf numFmtId="176" fontId="19" fillId="0" borderId="13" xfId="0" applyNumberFormat="1" applyFont="1" applyFill="1" applyBorder="1" applyAlignment="1" applyProtection="1">
      <alignment vertical="center"/>
      <protection locked="0"/>
    </xf>
    <xf numFmtId="1" fontId="11" fillId="0" borderId="24" xfId="0" applyNumberFormat="1" applyFont="1" applyFill="1" applyBorder="1" applyAlignment="1" applyProtection="1">
      <alignment horizontal="center" vertical="center" wrapText="1"/>
      <protection locked="0"/>
    </xf>
    <xf numFmtId="0" fontId="11" fillId="0" borderId="136" xfId="34" applyFont="1" applyFill="1" applyBorder="1" applyAlignment="1">
      <alignment horizontal="justify" vertical="center" wrapText="1"/>
    </xf>
    <xf numFmtId="0" fontId="11" fillId="0" borderId="93" xfId="34" applyFont="1" applyFill="1" applyBorder="1" applyAlignment="1">
      <alignment horizontal="justify" vertical="center" wrapText="1"/>
    </xf>
    <xf numFmtId="0" fontId="11" fillId="6" borderId="80" xfId="34" applyFont="1" applyFill="1" applyBorder="1" applyAlignment="1" applyProtection="1">
      <alignment horizontal="justify" vertical="center" wrapText="1"/>
    </xf>
    <xf numFmtId="0" fontId="16" fillId="0" borderId="136" xfId="34" applyFont="1" applyFill="1" applyBorder="1" applyAlignment="1" applyProtection="1">
      <alignment horizontal="center" vertical="center" wrapText="1"/>
      <protection locked="0"/>
    </xf>
    <xf numFmtId="0" fontId="16" fillId="0" borderId="81"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1" fillId="0" borderId="81" xfId="212" applyFont="1" applyFill="1" applyBorder="1" applyAlignment="1" applyProtection="1">
      <alignment horizontal="left" vertical="center" wrapText="1"/>
      <protection locked="0"/>
    </xf>
    <xf numFmtId="1" fontId="28" fillId="6" borderId="128" xfId="212" applyNumberFormat="1" applyFont="1" applyFill="1" applyBorder="1" applyAlignment="1" applyProtection="1">
      <alignment horizontal="center" vertical="center" wrapText="1"/>
      <protection locked="0"/>
    </xf>
    <xf numFmtId="1" fontId="28" fillId="6" borderId="26" xfId="212" applyNumberFormat="1" applyFont="1" applyFill="1" applyBorder="1" applyAlignment="1" applyProtection="1">
      <alignment horizontal="center" vertical="center" wrapText="1"/>
      <protection locked="0"/>
    </xf>
    <xf numFmtId="0" fontId="16" fillId="6" borderId="80" xfId="34" applyFont="1" applyFill="1" applyBorder="1" applyAlignment="1" applyProtection="1">
      <alignment horizontal="center" vertical="center" wrapText="1"/>
    </xf>
    <xf numFmtId="176" fontId="11" fillId="0" borderId="1" xfId="0" applyNumberFormat="1" applyFont="1" applyFill="1" applyBorder="1" applyAlignment="1" applyProtection="1">
      <alignment horizontal="right" vertical="center" wrapText="1"/>
      <protection locked="0"/>
    </xf>
    <xf numFmtId="176" fontId="11" fillId="0" borderId="13" xfId="0" applyNumberFormat="1" applyFont="1" applyFill="1" applyBorder="1" applyAlignment="1" applyProtection="1">
      <alignment horizontal="right" vertical="center" wrapText="1"/>
      <protection locked="0"/>
    </xf>
    <xf numFmtId="1" fontId="28" fillId="0" borderId="128" xfId="212" applyNumberFormat="1" applyFont="1" applyFill="1" applyBorder="1" applyAlignment="1" applyProtection="1">
      <alignment horizontal="center" vertical="center" wrapText="1"/>
      <protection locked="0"/>
    </xf>
    <xf numFmtId="176" fontId="11" fillId="6" borderId="119" xfId="34" applyNumberFormat="1" applyFont="1" applyFill="1" applyBorder="1" applyAlignment="1" applyProtection="1">
      <alignment horizontal="right" vertical="center"/>
    </xf>
    <xf numFmtId="176" fontId="11" fillId="6" borderId="26" xfId="34" applyNumberFormat="1" applyFont="1" applyFill="1" applyBorder="1" applyAlignment="1" applyProtection="1">
      <alignment horizontal="right" vertical="center"/>
    </xf>
    <xf numFmtId="176" fontId="11" fillId="6" borderId="25" xfId="34" applyNumberFormat="1" applyFont="1" applyFill="1" applyBorder="1" applyAlignment="1" applyProtection="1">
      <alignment horizontal="right" vertical="center"/>
    </xf>
    <xf numFmtId="176" fontId="11" fillId="0" borderId="26" xfId="34" applyNumberFormat="1" applyFont="1" applyFill="1" applyBorder="1" applyAlignment="1" applyProtection="1">
      <alignment horizontal="right" vertical="center"/>
    </xf>
    <xf numFmtId="176" fontId="11" fillId="0" borderId="128" xfId="34" applyNumberFormat="1" applyFont="1" applyFill="1" applyBorder="1" applyAlignment="1" applyProtection="1">
      <alignment horizontal="right" vertical="center"/>
    </xf>
    <xf numFmtId="176" fontId="11" fillId="0" borderId="119" xfId="34" applyNumberFormat="1" applyFont="1" applyFill="1" applyBorder="1" applyAlignment="1" applyProtection="1">
      <alignment horizontal="right" vertical="center"/>
    </xf>
    <xf numFmtId="176" fontId="11" fillId="0" borderId="33" xfId="34" applyNumberFormat="1" applyFont="1" applyFill="1" applyBorder="1" applyAlignment="1" applyProtection="1">
      <alignment horizontal="right" vertical="center" wrapText="1"/>
    </xf>
    <xf numFmtId="176" fontId="11" fillId="0" borderId="1" xfId="34" applyNumberFormat="1" applyFont="1" applyFill="1" applyBorder="1" applyAlignment="1" applyProtection="1">
      <alignment horizontal="right" vertical="center" wrapText="1"/>
    </xf>
    <xf numFmtId="176" fontId="11" fillId="6" borderId="1" xfId="34" applyNumberFormat="1" applyFont="1" applyFill="1" applyBorder="1" applyAlignment="1" applyProtection="1">
      <alignment horizontal="right" vertical="center" wrapText="1"/>
    </xf>
    <xf numFmtId="176" fontId="11" fillId="0" borderId="24" xfId="34" applyNumberFormat="1" applyFont="1" applyFill="1" applyBorder="1" applyAlignment="1" applyProtection="1">
      <alignment horizontal="right" vertical="center" wrapText="1"/>
    </xf>
    <xf numFmtId="1" fontId="28" fillId="6" borderId="90" xfId="34" applyNumberFormat="1" applyFont="1" applyFill="1" applyBorder="1" applyAlignment="1" applyProtection="1">
      <alignment horizontal="center" vertical="center" wrapText="1"/>
      <protection locked="0"/>
    </xf>
    <xf numFmtId="1" fontId="28" fillId="6" borderId="24" xfId="34" applyNumberFormat="1" applyFont="1" applyFill="1" applyBorder="1" applyAlignment="1" applyProtection="1">
      <alignment horizontal="center" vertical="center" wrapText="1"/>
      <protection locked="0"/>
    </xf>
    <xf numFmtId="1" fontId="28" fillId="0" borderId="24" xfId="34" applyNumberFormat="1" applyFont="1" applyFill="1" applyBorder="1" applyAlignment="1" applyProtection="1">
      <alignment horizontal="center" vertical="center" wrapText="1"/>
      <protection locked="0"/>
    </xf>
    <xf numFmtId="1" fontId="28" fillId="0" borderId="66" xfId="34" applyNumberFormat="1" applyFont="1" applyFill="1" applyBorder="1" applyAlignment="1" applyProtection="1">
      <alignment horizontal="center" vertical="center" wrapText="1"/>
      <protection locked="0"/>
    </xf>
    <xf numFmtId="1" fontId="28" fillId="0" borderId="90" xfId="0" applyNumberFormat="1" applyFont="1" applyFill="1" applyBorder="1" applyAlignment="1" applyProtection="1">
      <alignment horizontal="center" vertical="center" wrapText="1"/>
      <protection locked="0"/>
    </xf>
    <xf numFmtId="1" fontId="28" fillId="6" borderId="23" xfId="212" applyNumberFormat="1" applyFont="1" applyFill="1" applyBorder="1" applyAlignment="1" applyProtection="1">
      <alignment horizontal="center" vertical="center" wrapText="1"/>
      <protection locked="0"/>
    </xf>
    <xf numFmtId="1" fontId="28" fillId="6" borderId="22" xfId="34" applyNumberFormat="1" applyFont="1" applyFill="1" applyBorder="1" applyAlignment="1" applyProtection="1">
      <alignment horizontal="center" vertical="center" wrapText="1"/>
      <protection locked="0"/>
    </xf>
    <xf numFmtId="1" fontId="27" fillId="12" borderId="122" xfId="0" applyNumberFormat="1" applyFont="1" applyFill="1" applyBorder="1" applyAlignment="1" applyProtection="1">
      <alignment horizontal="center" vertical="center" wrapText="1"/>
      <protection locked="0"/>
    </xf>
    <xf numFmtId="176" fontId="16" fillId="6" borderId="56" xfId="34" applyNumberFormat="1" applyFont="1" applyFill="1" applyBorder="1" applyAlignment="1" applyProtection="1">
      <alignment horizontal="center" vertical="center" wrapText="1"/>
      <protection locked="0"/>
    </xf>
    <xf numFmtId="176" fontId="16" fillId="6" borderId="129" xfId="34" applyNumberFormat="1" applyFont="1" applyFill="1" applyBorder="1" applyAlignment="1" applyProtection="1">
      <alignment horizontal="center" vertical="center" wrapText="1"/>
      <protection locked="0"/>
    </xf>
    <xf numFmtId="0" fontId="11" fillId="6" borderId="136" xfId="34" applyFont="1" applyFill="1" applyBorder="1" applyAlignment="1" applyProtection="1">
      <alignment horizontal="justify" vertical="center" wrapText="1"/>
    </xf>
    <xf numFmtId="1" fontId="19" fillId="6" borderId="26" xfId="212" applyNumberFormat="1" applyFont="1" applyFill="1" applyBorder="1" applyAlignment="1" applyProtection="1">
      <alignment horizontal="center" vertical="center" wrapText="1"/>
      <protection locked="0"/>
    </xf>
    <xf numFmtId="1" fontId="19" fillId="0" borderId="26" xfId="212" applyNumberFormat="1" applyFont="1" applyFill="1" applyBorder="1" applyAlignment="1" applyProtection="1">
      <alignment horizontal="center" vertical="center" wrapText="1"/>
      <protection locked="0"/>
    </xf>
    <xf numFmtId="1" fontId="19" fillId="6" borderId="128" xfId="212" applyNumberFormat="1" applyFont="1" applyFill="1" applyBorder="1" applyAlignment="1" applyProtection="1">
      <alignment horizontal="center" vertical="center" wrapText="1"/>
      <protection locked="0"/>
    </xf>
    <xf numFmtId="176" fontId="66" fillId="6" borderId="1" xfId="0" applyNumberFormat="1" applyFont="1" applyFill="1" applyBorder="1" applyAlignment="1" applyProtection="1">
      <alignment horizontal="right" vertical="center"/>
    </xf>
    <xf numFmtId="176" fontId="11" fillId="0" borderId="1" xfId="34" applyNumberFormat="1" applyFont="1" applyFill="1" applyBorder="1" applyAlignment="1" applyProtection="1">
      <alignment horizontal="right" vertical="center"/>
    </xf>
    <xf numFmtId="176" fontId="11" fillId="0" borderId="1" xfId="34" applyNumberFormat="1" applyFont="1" applyFill="1" applyBorder="1" applyAlignment="1" applyProtection="1">
      <alignment horizontal="right" vertical="center"/>
      <protection locked="0"/>
    </xf>
    <xf numFmtId="176" fontId="11" fillId="6" borderId="1" xfId="34" applyNumberFormat="1" applyFont="1" applyFill="1" applyBorder="1" applyAlignment="1" applyProtection="1">
      <alignment horizontal="right" vertical="center"/>
    </xf>
    <xf numFmtId="176" fontId="11" fillId="6" borderId="13" xfId="34" applyNumberFormat="1" applyFont="1" applyFill="1" applyBorder="1" applyAlignment="1" applyProtection="1">
      <alignment horizontal="right" vertical="center" wrapText="1"/>
    </xf>
    <xf numFmtId="1" fontId="31" fillId="6" borderId="55" xfId="212" applyNumberFormat="1" applyFont="1" applyFill="1" applyBorder="1" applyAlignment="1" applyProtection="1">
      <alignment horizontal="center" vertical="center" wrapText="1"/>
      <protection locked="0"/>
    </xf>
    <xf numFmtId="1" fontId="31" fillId="6" borderId="1" xfId="34" applyNumberFormat="1" applyFont="1" applyFill="1" applyBorder="1" applyAlignment="1" applyProtection="1">
      <alignment horizontal="center" vertical="center" wrapText="1"/>
      <protection locked="0"/>
    </xf>
    <xf numFmtId="16" fontId="16" fillId="6" borderId="55" xfId="34" applyNumberFormat="1" applyFont="1" applyFill="1" applyBorder="1" applyAlignment="1" applyProtection="1">
      <alignment horizontal="center" vertical="center"/>
      <protection locked="0"/>
    </xf>
    <xf numFmtId="1" fontId="30" fillId="6" borderId="55" xfId="212" applyNumberFormat="1" applyFont="1" applyFill="1" applyBorder="1" applyAlignment="1" applyProtection="1">
      <alignment horizontal="center" vertical="center" wrapText="1"/>
      <protection locked="0"/>
    </xf>
    <xf numFmtId="0" fontId="68" fillId="6" borderId="55" xfId="0" applyFont="1" applyFill="1" applyBorder="1" applyAlignment="1" applyProtection="1">
      <alignment horizontal="center" vertical="center" wrapText="1"/>
    </xf>
    <xf numFmtId="1" fontId="68" fillId="6" borderId="1" xfId="0" applyNumberFormat="1" applyFont="1" applyFill="1" applyBorder="1" applyAlignment="1" applyProtection="1">
      <alignment horizontal="center" vertical="center" wrapText="1"/>
      <protection locked="0"/>
    </xf>
    <xf numFmtId="0" fontId="11" fillId="6" borderId="80" xfId="0" applyFont="1" applyFill="1" applyBorder="1" applyAlignment="1" applyProtection="1">
      <alignment horizontal="left" vertical="center" wrapText="1"/>
    </xf>
    <xf numFmtId="176" fontId="11" fillId="0" borderId="26" xfId="0" applyNumberFormat="1" applyFont="1" applyFill="1" applyBorder="1" applyAlignment="1" applyProtection="1">
      <alignment horizontal="right" vertical="center" wrapText="1"/>
      <protection locked="0"/>
    </xf>
    <xf numFmtId="176" fontId="11" fillId="6" borderId="24" xfId="34" applyNumberFormat="1" applyFont="1" applyFill="1" applyBorder="1" applyAlignment="1" applyProtection="1">
      <alignment horizontal="right" vertical="center"/>
    </xf>
    <xf numFmtId="176" fontId="11" fillId="0" borderId="63" xfId="0" applyNumberFormat="1" applyFont="1" applyFill="1" applyBorder="1" applyAlignment="1" applyProtection="1">
      <alignment horizontal="right" vertical="center" wrapText="1"/>
      <protection locked="0"/>
    </xf>
    <xf numFmtId="176" fontId="11" fillId="0" borderId="61" xfId="0" applyNumberFormat="1" applyFont="1" applyFill="1" applyBorder="1" applyAlignment="1" applyProtection="1">
      <alignment horizontal="right" vertical="center" wrapText="1"/>
      <protection locked="0"/>
    </xf>
    <xf numFmtId="176" fontId="11" fillId="0" borderId="24" xfId="0" applyNumberFormat="1" applyFont="1" applyFill="1" applyBorder="1" applyAlignment="1" applyProtection="1">
      <alignment horizontal="right" vertical="center" wrapText="1"/>
      <protection locked="0"/>
    </xf>
    <xf numFmtId="176" fontId="11" fillId="0" borderId="1" xfId="0" applyNumberFormat="1" applyFont="1" applyBorder="1" applyAlignment="1" applyProtection="1">
      <alignment horizontal="right" vertical="center"/>
      <protection locked="0"/>
    </xf>
    <xf numFmtId="176" fontId="11" fillId="6" borderId="1" xfId="0" applyNumberFormat="1" applyFont="1" applyFill="1" applyBorder="1" applyAlignment="1" applyProtection="1">
      <alignment horizontal="right" vertical="center"/>
    </xf>
    <xf numFmtId="176" fontId="66" fillId="6" borderId="24" xfId="0" applyNumberFormat="1" applyFont="1" applyFill="1" applyBorder="1" applyAlignment="1" applyProtection="1">
      <alignment horizontal="right" vertical="center"/>
    </xf>
    <xf numFmtId="1" fontId="11" fillId="0" borderId="26" xfId="212" applyNumberFormat="1" applyFont="1" applyFill="1" applyBorder="1" applyAlignment="1" applyProtection="1">
      <alignment horizontal="center" vertical="center" wrapText="1"/>
      <protection locked="0"/>
    </xf>
    <xf numFmtId="1" fontId="11" fillId="0" borderId="97" xfId="212" applyNumberFormat="1" applyFont="1" applyFill="1" applyBorder="1" applyAlignment="1" applyProtection="1">
      <alignment horizontal="center" vertical="center" wrapText="1"/>
      <protection locked="0"/>
    </xf>
    <xf numFmtId="176" fontId="11" fillId="0" borderId="11" xfId="0" applyNumberFormat="1" applyFont="1" applyFill="1" applyBorder="1" applyAlignment="1" applyProtection="1">
      <alignment horizontal="right" vertical="center" wrapText="1"/>
      <protection locked="0"/>
    </xf>
    <xf numFmtId="176" fontId="11" fillId="0" borderId="11" xfId="0" applyNumberFormat="1" applyFont="1" applyBorder="1" applyAlignment="1" applyProtection="1">
      <alignment horizontal="right" vertical="center"/>
      <protection locked="0"/>
    </xf>
    <xf numFmtId="1" fontId="11" fillId="0" borderId="58" xfId="0" applyNumberFormat="1" applyFont="1" applyFill="1" applyBorder="1" applyAlignment="1" applyProtection="1">
      <alignment horizontal="center" vertical="center" wrapText="1"/>
      <protection locked="0"/>
    </xf>
    <xf numFmtId="2" fontId="16" fillId="0" borderId="80" xfId="0" applyNumberFormat="1" applyFont="1" applyFill="1" applyBorder="1" applyAlignment="1" applyProtection="1">
      <alignment horizontal="center" vertical="center" wrapText="1"/>
      <protection locked="0"/>
    </xf>
    <xf numFmtId="2" fontId="16" fillId="0" borderId="81" xfId="0" applyNumberFormat="1" applyFont="1" applyFill="1" applyBorder="1" applyAlignment="1" applyProtection="1">
      <alignment horizontal="center" vertical="center" wrapText="1"/>
      <protection locked="0"/>
    </xf>
    <xf numFmtId="0" fontId="28" fillId="0" borderId="139" xfId="0" applyFont="1" applyBorder="1" applyAlignment="1">
      <alignment vertical="center"/>
    </xf>
    <xf numFmtId="0" fontId="28" fillId="0" borderId="84" xfId="0" applyFont="1" applyBorder="1" applyAlignment="1">
      <alignment vertical="center" wrapText="1"/>
    </xf>
    <xf numFmtId="0" fontId="27" fillId="12" borderId="145" xfId="0" applyFont="1" applyFill="1" applyBorder="1" applyAlignment="1" applyProtection="1">
      <alignment horizontal="center" vertical="center"/>
    </xf>
    <xf numFmtId="0" fontId="28" fillId="0" borderId="81"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vertical="center" wrapText="1"/>
    </xf>
    <xf numFmtId="0" fontId="27" fillId="12" borderId="82" xfId="0" applyFont="1" applyFill="1" applyBorder="1" applyAlignment="1" applyProtection="1">
      <alignment horizontal="center" vertical="center"/>
    </xf>
    <xf numFmtId="0" fontId="11" fillId="6" borderId="136" xfId="0" applyFont="1" applyFill="1" applyBorder="1" applyAlignment="1" applyProtection="1">
      <alignment horizontal="left" vertical="center" wrapText="1"/>
    </xf>
    <xf numFmtId="49" fontId="16" fillId="6" borderId="136" xfId="34" applyNumberFormat="1" applyFont="1" applyFill="1" applyBorder="1" applyAlignment="1" applyProtection="1">
      <alignment horizontal="center" vertical="center" wrapText="1"/>
    </xf>
    <xf numFmtId="0" fontId="68" fillId="6" borderId="107" xfId="0" applyFont="1" applyFill="1" applyBorder="1" applyAlignment="1" applyProtection="1">
      <alignment horizontal="center" vertical="center" wrapText="1"/>
    </xf>
    <xf numFmtId="1" fontId="68" fillId="6" borderId="13" xfId="0" applyNumberFormat="1" applyFont="1" applyFill="1" applyBorder="1" applyAlignment="1" applyProtection="1">
      <alignment horizontal="center" vertical="center" wrapText="1"/>
      <protection locked="0"/>
    </xf>
    <xf numFmtId="176" fontId="11" fillId="6" borderId="13" xfId="0" applyNumberFormat="1" applyFont="1" applyFill="1" applyBorder="1" applyAlignment="1" applyProtection="1">
      <alignment horizontal="right" vertical="center" wrapText="1"/>
      <protection locked="0"/>
    </xf>
    <xf numFmtId="176" fontId="11" fillId="6" borderId="90" xfId="0" applyNumberFormat="1" applyFont="1" applyFill="1" applyBorder="1" applyAlignment="1" applyProtection="1">
      <alignment horizontal="right" vertical="center" wrapText="1"/>
      <protection locked="0"/>
    </xf>
    <xf numFmtId="0" fontId="11" fillId="0" borderId="135" xfId="0" applyFont="1" applyFill="1" applyBorder="1" applyAlignment="1" applyProtection="1">
      <alignment horizontal="left" vertical="center" wrapText="1"/>
      <protection locked="0"/>
    </xf>
    <xf numFmtId="1" fontId="11" fillId="0" borderId="119" xfId="212" applyNumberFormat="1" applyFont="1" applyFill="1" applyBorder="1" applyAlignment="1" applyProtection="1">
      <alignment horizontal="center" vertical="center" wrapText="1"/>
      <protection locked="0"/>
    </xf>
    <xf numFmtId="1" fontId="11" fillId="0" borderId="66" xfId="0" applyNumberFormat="1" applyFont="1" applyFill="1" applyBorder="1" applyAlignment="1" applyProtection="1">
      <alignment horizontal="center" vertical="center" wrapText="1"/>
      <protection locked="0"/>
    </xf>
    <xf numFmtId="2" fontId="16" fillId="0" borderId="135" xfId="0" applyNumberFormat="1" applyFont="1" applyFill="1" applyBorder="1" applyAlignment="1" applyProtection="1">
      <alignment horizontal="center" vertical="center" wrapText="1"/>
      <protection locked="0"/>
    </xf>
    <xf numFmtId="176" fontId="11" fillId="0" borderId="33" xfId="0" applyNumberFormat="1" applyFont="1" applyFill="1" applyBorder="1" applyAlignment="1" applyProtection="1">
      <alignment horizontal="right" vertical="center" wrapText="1"/>
      <protection locked="0"/>
    </xf>
    <xf numFmtId="1" fontId="28" fillId="12" borderId="42" xfId="0" applyNumberFormat="1" applyFont="1" applyFill="1" applyBorder="1" applyAlignment="1" applyProtection="1">
      <alignment horizontal="center" vertical="center" wrapText="1"/>
      <protection locked="0"/>
    </xf>
    <xf numFmtId="1" fontId="27" fillId="0" borderId="24" xfId="34" applyNumberFormat="1" applyFont="1" applyFill="1" applyBorder="1" applyAlignment="1" applyProtection="1">
      <alignment horizontal="center" vertical="center" wrapText="1"/>
      <protection locked="0"/>
    </xf>
    <xf numFmtId="176" fontId="16" fillId="0" borderId="80" xfId="0" applyNumberFormat="1" applyFont="1" applyFill="1" applyBorder="1" applyAlignment="1" applyProtection="1">
      <alignment horizontal="center" vertical="center" wrapText="1"/>
      <protection locked="0"/>
    </xf>
    <xf numFmtId="176" fontId="19" fillId="0" borderId="33" xfId="34" applyNumberFormat="1" applyFont="1" applyFill="1" applyBorder="1" applyAlignment="1" applyProtection="1">
      <alignment vertical="center" wrapText="1"/>
    </xf>
    <xf numFmtId="176" fontId="69" fillId="0" borderId="1" xfId="0" applyNumberFormat="1" applyFont="1" applyFill="1" applyBorder="1" applyAlignment="1" applyProtection="1">
      <alignment horizontal="right" vertical="center" wrapText="1"/>
      <protection locked="0"/>
    </xf>
    <xf numFmtId="1" fontId="27" fillId="12" borderId="42" xfId="0" applyNumberFormat="1" applyFont="1" applyFill="1" applyBorder="1" applyAlignment="1" applyProtection="1">
      <alignment horizontal="center" vertical="center" wrapText="1"/>
      <protection locked="0"/>
    </xf>
    <xf numFmtId="1" fontId="28" fillId="0" borderId="80" xfId="0" applyNumberFormat="1" applyFont="1" applyFill="1" applyBorder="1" applyAlignment="1" applyProtection="1">
      <alignment horizontal="center" vertical="center" wrapText="1"/>
      <protection locked="0"/>
    </xf>
    <xf numFmtId="4" fontId="17" fillId="0" borderId="1" xfId="34" applyNumberFormat="1" applyFont="1" applyFill="1" applyBorder="1" applyAlignment="1" applyProtection="1">
      <alignment horizontal="center" vertical="center" wrapText="1"/>
      <protection locked="0"/>
    </xf>
    <xf numFmtId="4" fontId="16" fillId="0" borderId="1" xfId="34" applyNumberFormat="1" applyFont="1" applyFill="1" applyBorder="1" applyAlignment="1" applyProtection="1">
      <alignment horizontal="center" vertical="center" wrapText="1"/>
      <protection locked="0"/>
    </xf>
    <xf numFmtId="176" fontId="66" fillId="12" borderId="103" xfId="0" applyNumberFormat="1" applyFont="1" applyFill="1" applyBorder="1" applyAlignment="1" applyProtection="1">
      <alignment horizontal="center" vertical="center" wrapText="1"/>
      <protection locked="0"/>
    </xf>
    <xf numFmtId="0" fontId="28" fillId="0" borderId="86" xfId="0" applyFont="1" applyBorder="1" applyAlignment="1">
      <alignment horizontal="left" vertical="center"/>
    </xf>
    <xf numFmtId="0" fontId="28" fillId="0" borderId="84" xfId="0" applyFont="1" applyBorder="1" applyAlignment="1">
      <alignment horizontal="left" vertical="center"/>
    </xf>
    <xf numFmtId="0" fontId="28" fillId="0" borderId="83" xfId="0" applyFont="1" applyBorder="1" applyAlignment="1">
      <alignment horizontal="left" vertical="center"/>
    </xf>
    <xf numFmtId="0" fontId="30" fillId="12" borderId="31" xfId="0" applyFont="1" applyFill="1" applyBorder="1" applyAlignment="1" applyProtection="1">
      <alignment horizontal="center" vertical="center"/>
    </xf>
    <xf numFmtId="0" fontId="30" fillId="12" borderId="13" xfId="0" applyFont="1" applyFill="1" applyBorder="1" applyAlignment="1" applyProtection="1">
      <alignment horizontal="center" vertical="center"/>
    </xf>
    <xf numFmtId="9" fontId="11" fillId="0" borderId="1" xfId="151" applyNumberFormat="1" applyFont="1" applyFill="1" applyBorder="1" applyAlignment="1">
      <alignment horizontal="center" vertical="center"/>
    </xf>
    <xf numFmtId="0" fontId="19" fillId="6" borderId="1" xfId="151" applyFont="1" applyFill="1" applyBorder="1" applyAlignment="1">
      <alignment horizontal="center" vertical="center" wrapText="1"/>
    </xf>
    <xf numFmtId="0" fontId="11" fillId="6" borderId="55" xfId="151" applyFont="1" applyFill="1" applyBorder="1" applyAlignment="1">
      <alignment vertical="center"/>
    </xf>
    <xf numFmtId="176" fontId="66" fillId="12" borderId="127" xfId="0" applyNumberFormat="1" applyFont="1" applyFill="1" applyBorder="1" applyAlignment="1" applyProtection="1">
      <alignment horizontal="center" vertical="center"/>
    </xf>
    <xf numFmtId="176" fontId="19" fillId="0" borderId="119" xfId="34" applyNumberFormat="1" applyFont="1" applyFill="1" applyBorder="1" applyAlignment="1" applyProtection="1">
      <alignment horizontal="right" vertical="center"/>
      <protection locked="0"/>
    </xf>
    <xf numFmtId="176" fontId="19" fillId="0" borderId="33" xfId="34" applyNumberFormat="1" applyFont="1" applyFill="1" applyBorder="1" applyAlignment="1" applyProtection="1">
      <alignment horizontal="right" vertical="center"/>
      <protection locked="0"/>
    </xf>
    <xf numFmtId="176" fontId="19" fillId="0" borderId="66" xfId="34" applyNumberFormat="1" applyFont="1" applyFill="1" applyBorder="1" applyAlignment="1" applyProtection="1">
      <alignment horizontal="right" vertical="center"/>
      <protection locked="0"/>
    </xf>
    <xf numFmtId="176" fontId="19" fillId="0" borderId="26" xfId="34" applyNumberFormat="1" applyFont="1" applyFill="1" applyBorder="1" applyAlignment="1" applyProtection="1">
      <alignment horizontal="right" vertical="center"/>
      <protection locked="0"/>
    </xf>
    <xf numFmtId="176" fontId="19" fillId="0" borderId="1" xfId="34" applyNumberFormat="1" applyFont="1" applyFill="1" applyBorder="1" applyAlignment="1" applyProtection="1">
      <alignment horizontal="right" vertical="center"/>
      <protection locked="0"/>
    </xf>
    <xf numFmtId="176" fontId="19" fillId="0" borderId="24" xfId="34" applyNumberFormat="1" applyFont="1" applyFill="1" applyBorder="1" applyAlignment="1" applyProtection="1">
      <alignment horizontal="right" vertical="center"/>
      <protection locked="0"/>
    </xf>
    <xf numFmtId="176" fontId="19" fillId="0" borderId="25" xfId="34" applyNumberFormat="1" applyFont="1" applyFill="1" applyBorder="1" applyAlignment="1" applyProtection="1">
      <alignment horizontal="right" vertical="center"/>
      <protection locked="0"/>
    </xf>
    <xf numFmtId="176" fontId="19" fillId="0" borderId="128" xfId="34" applyNumberFormat="1" applyFont="1" applyFill="1" applyBorder="1" applyAlignment="1" applyProtection="1">
      <alignment horizontal="right" vertical="center"/>
      <protection locked="0"/>
    </xf>
    <xf numFmtId="176" fontId="19" fillId="0" borderId="13" xfId="34" applyNumberFormat="1" applyFont="1" applyFill="1" applyBorder="1" applyAlignment="1" applyProtection="1">
      <alignment horizontal="right" vertical="center"/>
      <protection locked="0"/>
    </xf>
    <xf numFmtId="176" fontId="19" fillId="0" borderId="90" xfId="34" applyNumberFormat="1" applyFont="1" applyFill="1" applyBorder="1" applyAlignment="1" applyProtection="1">
      <alignment horizontal="right" vertical="center"/>
      <protection locked="0"/>
    </xf>
    <xf numFmtId="176" fontId="11" fillId="0" borderId="33" xfId="0" applyNumberFormat="1" applyFont="1" applyFill="1" applyBorder="1" applyAlignment="1" applyProtection="1">
      <alignment horizontal="center" vertical="center" wrapText="1"/>
      <protection locked="0"/>
    </xf>
    <xf numFmtId="176" fontId="11" fillId="0" borderId="85"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xf>
    <xf numFmtId="176" fontId="11" fillId="0" borderId="25" xfId="0" applyNumberFormat="1" applyFont="1" applyFill="1" applyBorder="1" applyAlignment="1" applyProtection="1">
      <alignment horizontal="center" vertical="center" wrapText="1"/>
      <protection locked="0"/>
    </xf>
    <xf numFmtId="176" fontId="11" fillId="0" borderId="1" xfId="0" applyNumberFormat="1" applyFont="1" applyBorder="1" applyAlignment="1" applyProtection="1">
      <alignment vertical="center"/>
      <protection locked="0"/>
    </xf>
    <xf numFmtId="176" fontId="11" fillId="0" borderId="13" xfId="0" applyNumberFormat="1" applyFont="1" applyFill="1" applyBorder="1" applyAlignment="1" applyProtection="1">
      <alignment horizontal="center" vertical="center" wrapText="1"/>
      <protection locked="0"/>
    </xf>
    <xf numFmtId="176" fontId="11" fillId="0" borderId="85" xfId="0" applyNumberFormat="1" applyFont="1" applyFill="1" applyBorder="1" applyAlignment="1" applyProtection="1">
      <alignment horizontal="right" vertical="center" wrapText="1"/>
      <protection locked="0"/>
    </xf>
    <xf numFmtId="176" fontId="11" fillId="0" borderId="25" xfId="0" applyNumberFormat="1" applyFont="1" applyFill="1" applyBorder="1" applyAlignment="1" applyProtection="1">
      <alignment horizontal="right" vertical="center" wrapText="1"/>
      <protection locked="0"/>
    </xf>
    <xf numFmtId="176" fontId="11" fillId="0" borderId="93" xfId="0" applyNumberFormat="1" applyFont="1" applyFill="1" applyBorder="1" applyAlignment="1" applyProtection="1">
      <alignment horizontal="right" vertical="center" wrapText="1"/>
      <protection locked="0"/>
    </xf>
    <xf numFmtId="176" fontId="11" fillId="0" borderId="0" xfId="0" applyNumberFormat="1" applyFont="1" applyAlignment="1" applyProtection="1">
      <alignment horizontal="right" vertical="center"/>
      <protection locked="0"/>
    </xf>
    <xf numFmtId="176" fontId="19" fillId="0" borderId="66" xfId="34" applyNumberFormat="1" applyFont="1" applyFill="1" applyBorder="1" applyAlignment="1" applyProtection="1">
      <alignment vertical="center" wrapText="1"/>
    </xf>
    <xf numFmtId="176" fontId="19" fillId="0" borderId="24" xfId="34" applyNumberFormat="1" applyFont="1" applyFill="1" applyBorder="1" applyAlignment="1" applyProtection="1">
      <alignment vertical="center" wrapText="1"/>
      <protection locked="0"/>
    </xf>
    <xf numFmtId="176" fontId="19" fillId="6" borderId="24" xfId="34" applyNumberFormat="1" applyFont="1" applyFill="1" applyBorder="1" applyAlignment="1" applyProtection="1">
      <alignment vertical="center" wrapText="1"/>
      <protection locked="0"/>
    </xf>
    <xf numFmtId="176" fontId="19" fillId="0" borderId="24" xfId="173" applyNumberFormat="1" applyFont="1" applyFill="1" applyBorder="1" applyAlignment="1" applyProtection="1">
      <alignment vertical="center" wrapText="1"/>
      <protection locked="0"/>
    </xf>
    <xf numFmtId="176" fontId="19" fillId="0" borderId="24" xfId="204" applyNumberFormat="1" applyFont="1" applyFill="1" applyBorder="1" applyAlignment="1" applyProtection="1">
      <alignment vertical="center" wrapText="1"/>
      <protection locked="0"/>
    </xf>
    <xf numFmtId="176" fontId="19" fillId="0" borderId="24" xfId="45" applyNumberFormat="1" applyFont="1" applyFill="1" applyBorder="1" applyAlignment="1" applyProtection="1">
      <alignment vertical="center" wrapText="1"/>
      <protection locked="0"/>
    </xf>
    <xf numFmtId="176" fontId="19" fillId="6" borderId="24" xfId="45" applyNumberFormat="1" applyFont="1" applyFill="1" applyBorder="1" applyAlignment="1" applyProtection="1">
      <alignment vertical="center" wrapText="1"/>
      <protection locked="0"/>
    </xf>
    <xf numFmtId="176" fontId="19" fillId="0" borderId="24" xfId="0" applyNumberFormat="1" applyFont="1" applyFill="1" applyBorder="1" applyAlignment="1" applyProtection="1">
      <alignment vertical="center" wrapText="1"/>
    </xf>
    <xf numFmtId="176" fontId="19" fillId="0" borderId="24" xfId="0" applyNumberFormat="1" applyFont="1" applyFill="1" applyBorder="1" applyAlignment="1" applyProtection="1">
      <alignment vertical="center" wrapText="1"/>
      <protection locked="0"/>
    </xf>
    <xf numFmtId="176" fontId="19" fillId="6" borderId="24" xfId="0" applyNumberFormat="1" applyFont="1" applyFill="1" applyBorder="1" applyAlignment="1" applyProtection="1">
      <alignment vertical="center" wrapText="1"/>
      <protection locked="0"/>
    </xf>
    <xf numFmtId="176" fontId="64" fillId="6" borderId="24" xfId="0" applyNumberFormat="1" applyFont="1" applyFill="1" applyBorder="1" applyAlignment="1" applyProtection="1">
      <alignment vertical="center"/>
    </xf>
    <xf numFmtId="176" fontId="19" fillId="0" borderId="24" xfId="0" applyNumberFormat="1" applyFont="1" applyBorder="1" applyAlignment="1">
      <alignment vertical="center" wrapText="1"/>
    </xf>
    <xf numFmtId="176" fontId="19" fillId="0" borderId="24" xfId="34" applyNumberFormat="1" applyFont="1" applyBorder="1" applyAlignment="1" applyProtection="1">
      <alignment vertical="center" wrapText="1"/>
      <protection locked="0"/>
    </xf>
    <xf numFmtId="176" fontId="64" fillId="0" borderId="24" xfId="0" applyNumberFormat="1" applyFont="1" applyBorder="1" applyAlignment="1">
      <alignment vertical="center" wrapText="1"/>
    </xf>
    <xf numFmtId="176" fontId="19" fillId="0" borderId="24" xfId="224" applyNumberFormat="1" applyFont="1" applyBorder="1" applyAlignment="1" applyProtection="1">
      <alignment vertical="center" wrapText="1"/>
      <protection locked="0"/>
    </xf>
    <xf numFmtId="176" fontId="64" fillId="0" borderId="24" xfId="0" applyNumberFormat="1" applyFont="1" applyFill="1" applyBorder="1" applyAlignment="1" applyProtection="1">
      <alignment vertical="center"/>
    </xf>
    <xf numFmtId="176" fontId="19" fillId="0" borderId="24" xfId="34" applyNumberFormat="1" applyFont="1" applyFill="1" applyBorder="1" applyAlignment="1" applyProtection="1">
      <alignment vertical="center"/>
    </xf>
    <xf numFmtId="176" fontId="19" fillId="0" borderId="24" xfId="0" applyNumberFormat="1" applyFont="1" applyFill="1" applyBorder="1" applyAlignment="1" applyProtection="1">
      <alignment vertical="center"/>
    </xf>
    <xf numFmtId="176" fontId="19" fillId="0" borderId="90" xfId="0" applyNumberFormat="1" applyFont="1" applyFill="1" applyBorder="1" applyAlignment="1" applyProtection="1">
      <alignment vertical="center" wrapText="1"/>
      <protection locked="0"/>
    </xf>
    <xf numFmtId="176" fontId="11" fillId="0" borderId="24" xfId="0" applyNumberFormat="1" applyFont="1" applyFill="1" applyBorder="1" applyAlignment="1" applyProtection="1">
      <alignment horizontal="center" vertical="center" wrapText="1"/>
      <protection locked="0"/>
    </xf>
    <xf numFmtId="176" fontId="11" fillId="0" borderId="25" xfId="34" applyNumberFormat="1" applyFont="1" applyFill="1" applyBorder="1" applyAlignment="1" applyProtection="1">
      <alignment horizontal="right" vertical="center"/>
    </xf>
    <xf numFmtId="176" fontId="11" fillId="0" borderId="66" xfId="34" applyNumberFormat="1" applyFont="1" applyFill="1" applyBorder="1" applyAlignment="1" applyProtection="1">
      <alignment horizontal="right" vertical="center" wrapText="1"/>
    </xf>
    <xf numFmtId="176" fontId="11" fillId="0" borderId="24" xfId="34" applyNumberFormat="1" applyFont="1" applyFill="1" applyBorder="1" applyAlignment="1" applyProtection="1">
      <alignment horizontal="right" vertical="center"/>
    </xf>
    <xf numFmtId="176" fontId="11" fillId="0" borderId="66" xfId="0" applyNumberFormat="1" applyFont="1" applyFill="1" applyBorder="1" applyAlignment="1" applyProtection="1">
      <alignment horizontal="right" vertical="center" wrapText="1"/>
      <protection locked="0"/>
    </xf>
    <xf numFmtId="176" fontId="11" fillId="0" borderId="24" xfId="0" applyNumberFormat="1" applyFont="1" applyBorder="1" applyAlignment="1" applyProtection="1">
      <alignment horizontal="right" vertical="center"/>
      <protection locked="0"/>
    </xf>
    <xf numFmtId="176" fontId="11" fillId="0" borderId="58" xfId="0" applyNumberFormat="1" applyFont="1" applyFill="1" applyBorder="1" applyAlignment="1" applyProtection="1">
      <alignment horizontal="right" vertical="center" wrapText="1"/>
      <protection locked="0"/>
    </xf>
    <xf numFmtId="0" fontId="12" fillId="4" borderId="26" xfId="0" applyNumberFormat="1" applyFont="1" applyFill="1" applyBorder="1" applyAlignment="1" applyProtection="1">
      <alignment horizontal="center" vertical="center"/>
    </xf>
    <xf numFmtId="0" fontId="30" fillId="0" borderId="0" xfId="0" applyFont="1" applyBorder="1" applyAlignment="1" applyProtection="1">
      <alignment horizontal="right" vertical="center"/>
    </xf>
    <xf numFmtId="1" fontId="27" fillId="12" borderId="80" xfId="0" applyNumberFormat="1" applyFont="1" applyFill="1" applyBorder="1" applyAlignment="1" applyProtection="1">
      <alignment horizontal="center" vertical="center" wrapText="1"/>
    </xf>
    <xf numFmtId="0" fontId="17" fillId="6" borderId="83" xfId="34" applyFont="1" applyFill="1" applyBorder="1" applyAlignment="1" applyProtection="1">
      <alignment horizontal="center" vertical="center" wrapText="1"/>
      <protection locked="0"/>
    </xf>
    <xf numFmtId="0" fontId="17" fillId="6" borderId="83" xfId="0" applyFont="1" applyFill="1" applyBorder="1" applyAlignment="1" applyProtection="1">
      <alignment horizontal="center" vertical="center" wrapText="1"/>
      <protection locked="0"/>
    </xf>
    <xf numFmtId="0" fontId="17" fillId="6" borderId="140" xfId="0" applyFont="1" applyFill="1" applyBorder="1" applyAlignment="1" applyProtection="1">
      <alignment horizontal="center" vertical="center" wrapText="1"/>
      <protection locked="0"/>
    </xf>
    <xf numFmtId="0" fontId="17" fillId="0" borderId="83" xfId="0" applyFont="1" applyBorder="1" applyAlignment="1">
      <alignment horizontal="center" vertical="center" wrapText="1"/>
    </xf>
    <xf numFmtId="0" fontId="17" fillId="6" borderId="83" xfId="34" applyFont="1" applyFill="1" applyBorder="1" applyAlignment="1" applyProtection="1">
      <alignment horizontal="center" vertical="center" wrapText="1"/>
    </xf>
    <xf numFmtId="0" fontId="17" fillId="6" borderId="83" xfId="34" applyFont="1" applyFill="1" applyBorder="1" applyAlignment="1">
      <alignment horizontal="center" vertical="center" wrapText="1"/>
    </xf>
    <xf numFmtId="0" fontId="17" fillId="6" borderId="83" xfId="212" applyFont="1" applyFill="1" applyBorder="1" applyAlignment="1" applyProtection="1">
      <alignment horizontal="center" vertical="center" wrapText="1"/>
      <protection locked="0"/>
    </xf>
    <xf numFmtId="0" fontId="17" fillId="6" borderId="83" xfId="0" applyFont="1" applyFill="1" applyBorder="1" applyAlignment="1" applyProtection="1">
      <alignment horizontal="center" vertical="center" wrapText="1"/>
    </xf>
    <xf numFmtId="0" fontId="17" fillId="0" borderId="83" xfId="0" applyFont="1" applyFill="1" applyBorder="1" applyAlignment="1" applyProtection="1">
      <alignment horizontal="center" vertical="center" wrapText="1"/>
      <protection locked="0"/>
    </xf>
    <xf numFmtId="0" fontId="17" fillId="0" borderId="84" xfId="212" applyFont="1" applyFill="1" applyBorder="1" applyAlignment="1" applyProtection="1">
      <alignment horizontal="center" vertical="center" wrapText="1"/>
      <protection locked="0"/>
    </xf>
    <xf numFmtId="0" fontId="17" fillId="0" borderId="139" xfId="34" applyFont="1" applyFill="1" applyBorder="1" applyAlignment="1" applyProtection="1">
      <alignment horizontal="center" vertical="center" wrapText="1"/>
      <protection locked="0"/>
    </xf>
    <xf numFmtId="0" fontId="17" fillId="12" borderId="43" xfId="212" applyFont="1" applyFill="1" applyBorder="1" applyAlignment="1" applyProtection="1">
      <alignment horizontal="center" vertical="center" wrapText="1"/>
      <protection locked="0"/>
    </xf>
    <xf numFmtId="0" fontId="31" fillId="0" borderId="0" xfId="0" applyFont="1" applyBorder="1" applyAlignment="1" applyProtection="1">
      <alignment horizontal="center" vertical="center"/>
    </xf>
    <xf numFmtId="176" fontId="19" fillId="0" borderId="26" xfId="34" applyNumberFormat="1" applyFont="1" applyFill="1" applyBorder="1" applyAlignment="1" applyProtection="1">
      <alignment vertical="center" wrapText="1"/>
      <protection locked="0"/>
    </xf>
    <xf numFmtId="176" fontId="19" fillId="6" borderId="26" xfId="34" applyNumberFormat="1" applyFont="1" applyFill="1" applyBorder="1" applyAlignment="1" applyProtection="1">
      <alignment vertical="center"/>
      <protection locked="0"/>
    </xf>
    <xf numFmtId="176" fontId="19" fillId="6" borderId="26" xfId="34" applyNumberFormat="1" applyFont="1" applyFill="1" applyBorder="1" applyAlignment="1" applyProtection="1">
      <alignment vertical="center" wrapText="1"/>
      <protection locked="0"/>
    </xf>
    <xf numFmtId="176" fontId="19" fillId="0" borderId="26" xfId="173" applyNumberFormat="1" applyFont="1" applyFill="1" applyBorder="1" applyAlignment="1" applyProtection="1">
      <alignment vertical="center" wrapText="1"/>
      <protection locked="0"/>
    </xf>
    <xf numFmtId="176" fontId="19" fillId="0" borderId="26" xfId="204" applyNumberFormat="1" applyFont="1" applyFill="1" applyBorder="1" applyAlignment="1" applyProtection="1">
      <alignment vertical="center" wrapText="1"/>
      <protection locked="0"/>
    </xf>
    <xf numFmtId="176" fontId="19" fillId="0" borderId="26" xfId="45" applyNumberFormat="1" applyFont="1" applyFill="1" applyBorder="1" applyAlignment="1" applyProtection="1">
      <alignment vertical="center" wrapText="1"/>
      <protection locked="0"/>
    </xf>
    <xf numFmtId="176" fontId="19" fillId="6" borderId="26" xfId="45" applyNumberFormat="1" applyFont="1" applyFill="1" applyBorder="1" applyAlignment="1" applyProtection="1">
      <alignment vertical="center" wrapText="1"/>
      <protection locked="0"/>
    </xf>
    <xf numFmtId="176" fontId="19" fillId="0" borderId="26" xfId="0" applyNumberFormat="1" applyFont="1" applyFill="1" applyBorder="1" applyAlignment="1" applyProtection="1">
      <alignment vertical="center" wrapText="1"/>
    </xf>
    <xf numFmtId="176" fontId="19" fillId="0" borderId="26" xfId="0" applyNumberFormat="1" applyFont="1" applyFill="1" applyBorder="1" applyAlignment="1" applyProtection="1">
      <alignment vertical="center" wrapText="1"/>
      <protection locked="0"/>
    </xf>
    <xf numFmtId="176" fontId="19" fillId="6" borderId="26" xfId="0" applyNumberFormat="1" applyFont="1" applyFill="1" applyBorder="1" applyAlignment="1" applyProtection="1">
      <alignment vertical="center" wrapText="1"/>
      <protection locked="0"/>
    </xf>
    <xf numFmtId="176" fontId="19" fillId="6" borderId="26" xfId="0" applyNumberFormat="1" applyFont="1" applyFill="1" applyBorder="1" applyAlignment="1" applyProtection="1">
      <alignment vertical="center"/>
    </xf>
    <xf numFmtId="176" fontId="19" fillId="0" borderId="26" xfId="34" applyNumberFormat="1" applyFont="1" applyBorder="1" applyAlignment="1" applyProtection="1">
      <alignment vertical="center" wrapText="1"/>
      <protection locked="0"/>
    </xf>
    <xf numFmtId="176" fontId="19" fillId="0" borderId="26" xfId="34" applyNumberFormat="1" applyFont="1" applyBorder="1" applyAlignment="1" applyProtection="1">
      <alignment vertical="center"/>
      <protection locked="0"/>
    </xf>
    <xf numFmtId="176" fontId="19" fillId="0" borderId="26" xfId="0" applyNumberFormat="1" applyFont="1" applyBorder="1" applyAlignment="1">
      <alignment vertical="center"/>
    </xf>
    <xf numFmtId="176" fontId="19" fillId="0" borderId="26" xfId="224" applyNumberFormat="1" applyFont="1" applyBorder="1" applyAlignment="1" applyProtection="1">
      <alignment vertical="center" wrapText="1"/>
      <protection locked="0"/>
    </xf>
    <xf numFmtId="176" fontId="64" fillId="0" borderId="26" xfId="0" applyNumberFormat="1" applyFont="1" applyFill="1" applyBorder="1" applyAlignment="1" applyProtection="1">
      <alignment vertical="center"/>
    </xf>
    <xf numFmtId="176" fontId="19" fillId="0" borderId="26" xfId="34" applyNumberFormat="1" applyFont="1" applyFill="1" applyBorder="1" applyAlignment="1" applyProtection="1">
      <alignment vertical="center"/>
    </xf>
    <xf numFmtId="176" fontId="19" fillId="0" borderId="26" xfId="34" applyNumberFormat="1" applyFont="1" applyFill="1" applyBorder="1" applyAlignment="1" applyProtection="1">
      <alignment vertical="top" wrapText="1"/>
      <protection locked="0"/>
    </xf>
    <xf numFmtId="176" fontId="19" fillId="0" borderId="26" xfId="0" applyNumberFormat="1" applyFont="1" applyFill="1" applyBorder="1" applyAlignment="1" applyProtection="1">
      <alignment vertical="center"/>
    </xf>
    <xf numFmtId="176" fontId="19" fillId="0" borderId="128" xfId="0" applyNumberFormat="1" applyFont="1" applyFill="1" applyBorder="1" applyAlignment="1" applyProtection="1">
      <alignment vertical="center" wrapText="1"/>
      <protection locked="0"/>
    </xf>
    <xf numFmtId="176" fontId="66" fillId="12" borderId="103" xfId="0" applyNumberFormat="1" applyFont="1" applyFill="1" applyBorder="1" applyAlignment="1" applyProtection="1">
      <alignment horizontal="center" vertical="center"/>
    </xf>
    <xf numFmtId="176" fontId="11" fillId="0" borderId="93" xfId="0" applyNumberFormat="1" applyFont="1" applyFill="1" applyBorder="1" applyAlignment="1" applyProtection="1">
      <alignment horizontal="center" vertical="center" wrapText="1"/>
      <protection locked="0"/>
    </xf>
    <xf numFmtId="176" fontId="70" fillId="0" borderId="25" xfId="0" applyNumberFormat="1" applyFont="1" applyFill="1" applyBorder="1" applyAlignment="1" applyProtection="1">
      <alignment horizontal="right" vertical="center" wrapText="1"/>
      <protection locked="0"/>
    </xf>
    <xf numFmtId="176" fontId="11" fillId="0" borderId="26" xfId="34" applyNumberFormat="1" applyFont="1" applyFill="1" applyBorder="1" applyAlignment="1" applyProtection="1">
      <alignment horizontal="right" vertical="center" wrapText="1"/>
    </xf>
    <xf numFmtId="176" fontId="11" fillId="0" borderId="98" xfId="0" applyNumberFormat="1" applyFont="1" applyFill="1" applyBorder="1" applyAlignment="1" applyProtection="1">
      <alignment horizontal="right" vertical="center" wrapText="1"/>
      <protection locked="0"/>
    </xf>
    <xf numFmtId="176" fontId="66" fillId="6" borderId="26" xfId="0" applyNumberFormat="1" applyFont="1" applyFill="1" applyBorder="1" applyAlignment="1" applyProtection="1">
      <alignment horizontal="right" vertical="center"/>
    </xf>
    <xf numFmtId="176" fontId="66" fillId="6" borderId="26" xfId="0" applyNumberFormat="1" applyFont="1" applyFill="1" applyBorder="1" applyAlignment="1" applyProtection="1">
      <alignment horizontal="right" vertical="center" wrapText="1"/>
      <protection locked="0"/>
    </xf>
    <xf numFmtId="176" fontId="11" fillId="6" borderId="26" xfId="0" applyNumberFormat="1" applyFont="1" applyFill="1" applyBorder="1" applyAlignment="1" applyProtection="1">
      <alignment horizontal="right" vertical="center" wrapText="1"/>
      <protection locked="0"/>
    </xf>
    <xf numFmtId="176" fontId="11" fillId="6" borderId="128" xfId="0" applyNumberFormat="1" applyFont="1" applyFill="1" applyBorder="1" applyAlignment="1" applyProtection="1">
      <alignment horizontal="right" vertical="center" wrapText="1"/>
      <protection locked="0"/>
    </xf>
    <xf numFmtId="176" fontId="11" fillId="0" borderId="119" xfId="0" applyNumberFormat="1" applyFont="1" applyFill="1" applyBorder="1" applyAlignment="1" applyProtection="1">
      <alignment horizontal="right" vertical="center" wrapText="1"/>
      <protection locked="0"/>
    </xf>
    <xf numFmtId="176" fontId="11" fillId="0" borderId="97" xfId="0" applyNumberFormat="1" applyFont="1" applyFill="1" applyBorder="1" applyAlignment="1" applyProtection="1">
      <alignment horizontal="right" vertical="center" wrapText="1"/>
      <protection locked="0"/>
    </xf>
    <xf numFmtId="0" fontId="35" fillId="0" borderId="0" xfId="0" applyFont="1" applyBorder="1" applyAlignment="1" applyProtection="1">
      <alignment horizontal="center" vertical="center"/>
    </xf>
    <xf numFmtId="16" fontId="16" fillId="6" borderId="56" xfId="34" applyNumberFormat="1" applyFont="1" applyFill="1" applyBorder="1" applyAlignment="1" applyProtection="1">
      <alignment horizontal="center" vertical="center"/>
      <protection locked="0"/>
    </xf>
    <xf numFmtId="16" fontId="16" fillId="0" borderId="55" xfId="34" applyNumberFormat="1" applyFont="1" applyFill="1" applyBorder="1" applyAlignment="1" applyProtection="1">
      <alignment horizontal="center" vertical="center"/>
      <protection locked="0"/>
    </xf>
    <xf numFmtId="16" fontId="16" fillId="0" borderId="56" xfId="34" applyNumberFormat="1" applyFont="1" applyFill="1" applyBorder="1" applyAlignment="1" applyProtection="1">
      <alignment horizontal="center" vertical="center"/>
      <protection locked="0"/>
    </xf>
    <xf numFmtId="16" fontId="16" fillId="6" borderId="55" xfId="0" applyNumberFormat="1" applyFont="1" applyFill="1" applyBorder="1" applyAlignment="1" applyProtection="1">
      <alignment horizontal="center" vertical="center"/>
      <protection locked="0"/>
    </xf>
    <xf numFmtId="16" fontId="16" fillId="6" borderId="57" xfId="0" applyNumberFormat="1" applyFont="1" applyFill="1" applyBorder="1" applyAlignment="1" applyProtection="1">
      <alignment horizontal="center" vertical="center"/>
      <protection locked="0"/>
    </xf>
    <xf numFmtId="16" fontId="16" fillId="6" borderId="59" xfId="34" applyNumberFormat="1" applyFont="1" applyFill="1" applyBorder="1" applyAlignment="1" applyProtection="1">
      <alignment horizontal="center" vertical="center"/>
      <protection locked="0"/>
    </xf>
    <xf numFmtId="0" fontId="11" fillId="0" borderId="140" xfId="212" applyFont="1" applyFill="1" applyBorder="1" applyAlignment="1" applyProtection="1">
      <alignment horizontal="justify" vertical="center" wrapText="1"/>
      <protection locked="0"/>
    </xf>
    <xf numFmtId="0" fontId="16" fillId="0" borderId="136" xfId="0" applyFont="1" applyFill="1" applyBorder="1" applyAlignment="1" applyProtection="1">
      <alignment horizontal="center" vertical="center" wrapText="1"/>
    </xf>
    <xf numFmtId="1" fontId="34" fillId="0" borderId="128" xfId="212" applyNumberFormat="1" applyFont="1" applyFill="1" applyBorder="1" applyAlignment="1" applyProtection="1">
      <alignment horizontal="center" vertical="center" wrapText="1"/>
      <protection locked="0"/>
    </xf>
    <xf numFmtId="1" fontId="34" fillId="0" borderId="90" xfId="0" applyNumberFormat="1" applyFont="1" applyFill="1" applyBorder="1" applyAlignment="1" applyProtection="1">
      <alignment horizontal="center" vertical="center" wrapText="1"/>
      <protection locked="0"/>
    </xf>
    <xf numFmtId="0" fontId="17" fillId="0" borderId="140" xfId="212" applyFont="1" applyFill="1" applyBorder="1" applyAlignment="1" applyProtection="1">
      <alignment horizontal="center" vertical="center" wrapText="1"/>
      <protection locked="0"/>
    </xf>
    <xf numFmtId="1" fontId="66" fillId="12" borderId="122" xfId="0" applyNumberFormat="1" applyFont="1" applyFill="1" applyBorder="1" applyAlignment="1" applyProtection="1">
      <alignment horizontal="center" vertical="center" wrapText="1"/>
      <protection locked="0"/>
    </xf>
    <xf numFmtId="2" fontId="11" fillId="0" borderId="1" xfId="34" applyNumberFormat="1" applyFont="1" applyBorder="1" applyAlignment="1">
      <alignment horizontal="right" vertical="center"/>
    </xf>
    <xf numFmtId="2" fontId="11" fillId="6" borderId="1" xfId="34" applyNumberFormat="1" applyFont="1" applyFill="1" applyBorder="1" applyAlignment="1">
      <alignment horizontal="right" vertical="center"/>
    </xf>
    <xf numFmtId="4" fontId="63" fillId="0" borderId="11" xfId="0" applyNumberFormat="1" applyFont="1" applyBorder="1" applyAlignment="1">
      <alignment horizontal="right" vertical="center"/>
    </xf>
    <xf numFmtId="4" fontId="63" fillId="0" borderId="1" xfId="0" applyNumberFormat="1" applyFont="1" applyBorder="1" applyAlignment="1">
      <alignment horizontal="right" vertical="center"/>
    </xf>
    <xf numFmtId="0" fontId="11" fillId="0" borderId="1" xfId="46" applyFont="1" applyBorder="1" applyAlignment="1">
      <alignment horizontal="right" vertical="center"/>
    </xf>
    <xf numFmtId="0" fontId="11" fillId="0" borderId="1" xfId="46" applyFont="1" applyFill="1" applyBorder="1" applyAlignment="1">
      <alignment horizontal="right" vertical="center" wrapText="1"/>
    </xf>
    <xf numFmtId="4" fontId="11" fillId="0" borderId="1" xfId="34" applyNumberFormat="1" applyFont="1" applyBorder="1" applyAlignment="1">
      <alignment horizontal="right" vertical="center"/>
    </xf>
    <xf numFmtId="2" fontId="11" fillId="0" borderId="1" xfId="0" applyNumberFormat="1" applyFont="1" applyBorder="1" applyAlignment="1">
      <alignment horizontal="right" vertical="center"/>
    </xf>
    <xf numFmtId="4" fontId="11" fillId="0" borderId="1" xfId="0" applyNumberFormat="1" applyFont="1" applyBorder="1" applyAlignment="1">
      <alignment horizontal="right" vertical="center"/>
    </xf>
    <xf numFmtId="4" fontId="11" fillId="6" borderId="1" xfId="34" applyNumberFormat="1" applyFont="1" applyFill="1" applyBorder="1" applyAlignment="1">
      <alignment horizontal="right" vertical="center"/>
    </xf>
    <xf numFmtId="0" fontId="11" fillId="0" borderId="1" xfId="0" applyFont="1" applyBorder="1" applyAlignment="1">
      <alignment horizontal="right" vertical="center"/>
    </xf>
    <xf numFmtId="177" fontId="11" fillId="0" borderId="1" xfId="0" applyNumberFormat="1" applyFont="1" applyBorder="1" applyAlignment="1">
      <alignment horizontal="right" vertical="center"/>
    </xf>
    <xf numFmtId="0" fontId="11" fillId="0" borderId="63" xfId="0" applyFont="1" applyBorder="1" applyAlignment="1">
      <alignment horizontal="right" vertical="center"/>
    </xf>
    <xf numFmtId="177" fontId="11" fillId="0" borderId="63" xfId="0" applyNumberFormat="1" applyFont="1" applyBorder="1" applyAlignment="1">
      <alignment horizontal="right" vertical="center"/>
    </xf>
    <xf numFmtId="14" fontId="11" fillId="6" borderId="59" xfId="34" applyNumberFormat="1" applyFont="1" applyFill="1" applyBorder="1" applyAlignment="1">
      <alignment horizontal="left" vertical="center"/>
    </xf>
    <xf numFmtId="14" fontId="11" fillId="6" borderId="11" xfId="34" applyNumberFormat="1" applyFont="1" applyFill="1" applyBorder="1" applyAlignment="1">
      <alignment horizontal="left" vertical="center"/>
    </xf>
    <xf numFmtId="14" fontId="11" fillId="6" borderId="64" xfId="34" applyNumberFormat="1" applyFont="1" applyFill="1" applyBorder="1" applyAlignment="1">
      <alignment horizontal="left" vertical="center"/>
    </xf>
    <xf numFmtId="14" fontId="11" fillId="6" borderId="63" xfId="34" applyNumberFormat="1" applyFont="1" applyFill="1" applyBorder="1" applyAlignment="1">
      <alignment horizontal="left" vertical="center"/>
    </xf>
    <xf numFmtId="4" fontId="11" fillId="0" borderId="1" xfId="46" applyNumberFormat="1" applyFont="1" applyBorder="1" applyAlignment="1">
      <alignment horizontal="left" vertical="center" wrapText="1"/>
    </xf>
    <xf numFmtId="14" fontId="11" fillId="0" borderId="0" xfId="46" applyNumberFormat="1" applyBorder="1" applyAlignment="1">
      <alignment horizontal="left" vertical="center"/>
    </xf>
    <xf numFmtId="4" fontId="11" fillId="0" borderId="1" xfId="46" applyNumberFormat="1" applyFont="1" applyBorder="1" applyAlignment="1">
      <alignment horizontal="justify" vertical="center" wrapText="1"/>
    </xf>
    <xf numFmtId="0" fontId="11" fillId="0" borderId="1" xfId="34" applyFont="1" applyBorder="1" applyAlignment="1">
      <alignment horizontal="justify" vertical="center" wrapText="1"/>
    </xf>
    <xf numFmtId="0" fontId="11" fillId="0" borderId="0" xfId="34" applyAlignment="1">
      <alignment horizontal="left" vertical="center"/>
    </xf>
    <xf numFmtId="0" fontId="11" fillId="0" borderId="1" xfId="46" applyFont="1" applyBorder="1" applyAlignment="1">
      <alignment horizontal="left" vertical="center"/>
    </xf>
    <xf numFmtId="4" fontId="11" fillId="0" borderId="1" xfId="46" applyNumberFormat="1" applyFont="1" applyBorder="1" applyAlignment="1">
      <alignment horizontal="left" vertical="center"/>
    </xf>
    <xf numFmtId="0" fontId="11" fillId="0" borderId="55" xfId="46" applyFont="1" applyBorder="1" applyAlignment="1">
      <alignment horizontal="left" vertical="center"/>
    </xf>
    <xf numFmtId="0" fontId="11" fillId="0" borderId="1" xfId="95" applyFont="1" applyBorder="1" applyAlignment="1">
      <alignment horizontal="left" vertical="center" wrapText="1"/>
    </xf>
    <xf numFmtId="0" fontId="11" fillId="0" borderId="55" xfId="95" applyFont="1" applyFill="1" applyBorder="1" applyAlignment="1">
      <alignment horizontal="left" vertical="center" wrapText="1"/>
    </xf>
    <xf numFmtId="0" fontId="11" fillId="0" borderId="1" xfId="0" applyFont="1" applyBorder="1" applyAlignment="1">
      <alignment horizontal="left" wrapText="1"/>
    </xf>
    <xf numFmtId="0" fontId="11" fillId="0" borderId="55" xfId="0" applyFont="1" applyBorder="1" applyAlignment="1">
      <alignment horizontal="left" vertical="center" wrapText="1"/>
    </xf>
    <xf numFmtId="0" fontId="11" fillId="2" borderId="63" xfId="0" applyFont="1" applyFill="1" applyBorder="1" applyAlignment="1">
      <alignment horizontal="left" vertical="center" wrapText="1"/>
    </xf>
    <xf numFmtId="0" fontId="11" fillId="6" borderId="62" xfId="0" applyFont="1" applyFill="1" applyBorder="1" applyAlignment="1">
      <alignment horizontal="left" vertical="center" wrapText="1"/>
    </xf>
    <xf numFmtId="0" fontId="63" fillId="0" borderId="11" xfId="0" applyFont="1" applyBorder="1" applyAlignment="1">
      <alignment horizontal="left" vertical="center" wrapText="1"/>
    </xf>
    <xf numFmtId="0" fontId="63" fillId="0" borderId="11" xfId="0" applyFont="1" applyBorder="1" applyAlignment="1">
      <alignment horizontal="left" vertical="center"/>
    </xf>
    <xf numFmtId="0" fontId="63" fillId="2" borderId="11" xfId="0" applyFont="1" applyFill="1" applyBorder="1" applyAlignment="1">
      <alignment horizontal="left" vertical="center" wrapText="1"/>
    </xf>
    <xf numFmtId="0" fontId="63" fillId="0" borderId="57" xfId="0" applyFont="1" applyBorder="1" applyAlignment="1">
      <alignment horizontal="left" vertical="center" wrapText="1"/>
    </xf>
    <xf numFmtId="0" fontId="63" fillId="0" borderId="1" xfId="0" applyFont="1" applyBorder="1" applyAlignment="1">
      <alignment horizontal="left" vertical="center" wrapText="1"/>
    </xf>
    <xf numFmtId="0" fontId="63" fillId="0" borderId="1" xfId="0" applyFont="1" applyBorder="1" applyAlignment="1">
      <alignment horizontal="left" vertical="center"/>
    </xf>
    <xf numFmtId="0" fontId="63" fillId="2" borderId="1" xfId="0" applyFont="1" applyFill="1" applyBorder="1" applyAlignment="1">
      <alignment horizontal="left" vertical="center" wrapText="1"/>
    </xf>
    <xf numFmtId="0" fontId="63" fillId="2" borderId="55" xfId="0" applyFont="1" applyFill="1" applyBorder="1" applyAlignment="1">
      <alignment horizontal="left" vertical="center" wrapText="1"/>
    </xf>
    <xf numFmtId="14" fontId="11" fillId="0" borderId="1" xfId="34" applyNumberFormat="1" applyFont="1" applyBorder="1" applyAlignment="1">
      <alignment horizontal="left" vertical="center"/>
    </xf>
    <xf numFmtId="14" fontId="11" fillId="0" borderId="56" xfId="0" applyNumberFormat="1" applyFont="1" applyBorder="1" applyAlignment="1">
      <alignment horizontal="left" vertical="center"/>
    </xf>
    <xf numFmtId="0" fontId="11" fillId="0" borderId="55" xfId="0" applyFont="1" applyBorder="1" applyAlignment="1">
      <alignment horizontal="left" vertical="center"/>
    </xf>
    <xf numFmtId="14" fontId="11" fillId="6" borderId="56" xfId="34" applyNumberFormat="1" applyFont="1" applyFill="1" applyBorder="1" applyAlignment="1">
      <alignment horizontal="left" vertical="center"/>
    </xf>
    <xf numFmtId="14" fontId="11" fillId="6" borderId="1" xfId="34" applyNumberFormat="1" applyFont="1" applyFill="1" applyBorder="1" applyAlignment="1">
      <alignment horizontal="left" vertical="center"/>
    </xf>
    <xf numFmtId="0" fontId="11" fillId="6" borderId="1" xfId="34" applyFont="1" applyFill="1" applyBorder="1" applyAlignment="1">
      <alignment horizontal="left" vertical="center"/>
    </xf>
    <xf numFmtId="0" fontId="11" fillId="0" borderId="1" xfId="34" applyFont="1" applyBorder="1" applyAlignment="1">
      <alignment horizontal="left" vertical="center"/>
    </xf>
    <xf numFmtId="0" fontId="11" fillId="0" borderId="1" xfId="34" applyFont="1" applyBorder="1" applyAlignment="1">
      <alignment horizontal="left" vertical="center" wrapText="1"/>
    </xf>
    <xf numFmtId="0" fontId="11" fillId="0" borderId="55" xfId="34"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63" xfId="0" applyFont="1" applyBorder="1" applyAlignment="1">
      <alignment horizontal="left" vertical="center" wrapText="1"/>
    </xf>
    <xf numFmtId="0" fontId="11" fillId="0" borderId="63" xfId="0" applyFont="1" applyBorder="1" applyAlignment="1">
      <alignment horizontal="left" vertical="center"/>
    </xf>
    <xf numFmtId="0" fontId="28" fillId="0" borderId="140" xfId="0" applyFont="1" applyBorder="1" applyAlignment="1">
      <alignment horizontal="left" vertical="center"/>
    </xf>
    <xf numFmtId="0" fontId="28" fillId="0" borderId="139" xfId="0" applyFont="1" applyBorder="1" applyAlignment="1">
      <alignment horizontal="left" vertical="center"/>
    </xf>
    <xf numFmtId="0" fontId="0" fillId="0" borderId="0" xfId="0" applyAlignment="1">
      <alignment horizontal="left" vertical="center"/>
    </xf>
    <xf numFmtId="0" fontId="11" fillId="0" borderId="83" xfId="212" applyFont="1" applyFill="1" applyBorder="1" applyAlignment="1" applyProtection="1">
      <alignment horizontal="left" vertical="center" wrapText="1"/>
      <protection locked="0"/>
    </xf>
    <xf numFmtId="0" fontId="11" fillId="0" borderId="80" xfId="34" applyFont="1" applyFill="1" applyBorder="1" applyAlignment="1">
      <alignment horizontal="left" vertical="center" wrapText="1"/>
    </xf>
    <xf numFmtId="0" fontId="16" fillId="0" borderId="79" xfId="34" applyFont="1" applyFill="1" applyBorder="1" applyAlignment="1" applyProtection="1">
      <alignment horizontal="center" vertical="center" wrapText="1"/>
    </xf>
    <xf numFmtId="0" fontId="16" fillId="0" borderId="135" xfId="0" applyFont="1" applyFill="1" applyBorder="1" applyAlignment="1" applyProtection="1">
      <alignment horizontal="center" vertical="center" wrapText="1"/>
      <protection locked="0"/>
    </xf>
    <xf numFmtId="166" fontId="27" fillId="8" borderId="134" xfId="2" applyNumberFormat="1" applyFont="1" applyFill="1" applyBorder="1" applyAlignment="1">
      <alignment horizontal="center" vertical="center" wrapText="1"/>
    </xf>
    <xf numFmtId="0" fontId="61" fillId="0" borderId="80" xfId="0" applyFont="1" applyFill="1" applyBorder="1" applyAlignment="1" applyProtection="1">
      <alignment horizontal="center" vertical="center" wrapText="1"/>
      <protection locked="0"/>
    </xf>
    <xf numFmtId="0" fontId="11" fillId="0" borderId="83" xfId="0" applyFont="1" applyFill="1" applyBorder="1" applyAlignment="1">
      <alignment horizontal="justify" vertical="center" wrapText="1"/>
    </xf>
    <xf numFmtId="10" fontId="63" fillId="0" borderId="83" xfId="33" applyNumberFormat="1" applyFont="1" applyFill="1" applyBorder="1" applyAlignment="1">
      <alignment horizontal="justify" vertical="center" wrapText="1"/>
    </xf>
    <xf numFmtId="0" fontId="11" fillId="6" borderId="135" xfId="34" applyFont="1" applyFill="1" applyBorder="1" applyAlignment="1" applyProtection="1">
      <alignment horizontal="left" vertical="center" wrapText="1"/>
    </xf>
    <xf numFmtId="49" fontId="16" fillId="6" borderId="135" xfId="34" applyNumberFormat="1" applyFont="1" applyFill="1" applyBorder="1" applyAlignment="1" applyProtection="1">
      <alignment horizontal="center" vertical="center" wrapText="1"/>
    </xf>
    <xf numFmtId="1" fontId="31" fillId="6" borderId="105" xfId="212" applyNumberFormat="1" applyFont="1" applyFill="1" applyBorder="1" applyAlignment="1" applyProtection="1">
      <alignment horizontal="center" vertical="center" wrapText="1"/>
      <protection locked="0"/>
    </xf>
    <xf numFmtId="1" fontId="31" fillId="6" borderId="33" xfId="34" applyNumberFormat="1" applyFont="1" applyFill="1" applyBorder="1" applyAlignment="1" applyProtection="1">
      <alignment horizontal="center" vertical="center" wrapText="1"/>
      <protection locked="0"/>
    </xf>
    <xf numFmtId="176" fontId="16" fillId="6" borderId="109" xfId="34" applyNumberFormat="1" applyFont="1" applyFill="1" applyBorder="1" applyAlignment="1" applyProtection="1">
      <alignment horizontal="center" vertical="center" wrapText="1"/>
      <protection locked="0"/>
    </xf>
    <xf numFmtId="0" fontId="17" fillId="6" borderId="139" xfId="34" applyFont="1" applyFill="1" applyBorder="1" applyAlignment="1" applyProtection="1">
      <alignment horizontal="center" vertical="center" wrapText="1"/>
      <protection locked="0"/>
    </xf>
    <xf numFmtId="16" fontId="16" fillId="6" borderId="105" xfId="34" applyNumberFormat="1" applyFont="1" applyFill="1" applyBorder="1" applyAlignment="1" applyProtection="1">
      <alignment horizontal="center" vertical="center"/>
      <protection locked="0"/>
    </xf>
    <xf numFmtId="16" fontId="16" fillId="6" borderId="109" xfId="34" applyNumberFormat="1" applyFont="1" applyFill="1" applyBorder="1" applyAlignment="1" applyProtection="1">
      <alignment horizontal="center" vertical="center"/>
      <protection locked="0"/>
    </xf>
    <xf numFmtId="16" fontId="16" fillId="12" borderId="102" xfId="34" applyNumberFormat="1" applyFont="1" applyFill="1" applyBorder="1" applyAlignment="1" applyProtection="1">
      <alignment horizontal="center" vertical="center"/>
      <protection locked="0"/>
    </xf>
    <xf numFmtId="16" fontId="16" fillId="12" borderId="104" xfId="34" applyNumberFormat="1" applyFont="1" applyFill="1" applyBorder="1" applyAlignment="1" applyProtection="1">
      <alignment horizontal="center" vertical="center"/>
      <protection locked="0"/>
    </xf>
    <xf numFmtId="14" fontId="11" fillId="0" borderId="85" xfId="46" applyNumberFormat="1" applyBorder="1" applyAlignment="1">
      <alignment horizontal="left" vertical="center"/>
    </xf>
    <xf numFmtId="14" fontId="11" fillId="0" borderId="25" xfId="46" applyNumberFormat="1" applyBorder="1" applyAlignment="1">
      <alignment horizontal="left" vertical="center"/>
    </xf>
    <xf numFmtId="0" fontId="0" fillId="0" borderId="0" xfId="0" applyBorder="1" applyAlignment="1">
      <alignment horizontal="left" vertical="center"/>
    </xf>
    <xf numFmtId="4" fontId="16" fillId="0" borderId="1" xfId="151" applyNumberFormat="1" applyFont="1" applyFill="1" applyBorder="1" applyAlignment="1">
      <alignment horizontal="center" vertical="center" wrapText="1"/>
    </xf>
    <xf numFmtId="0" fontId="11" fillId="0" borderId="1" xfId="151" applyFont="1" applyBorder="1" applyAlignment="1">
      <alignment horizontal="center" vertical="center" wrapText="1"/>
    </xf>
    <xf numFmtId="0" fontId="19" fillId="0" borderId="1" xfId="151" applyFont="1" applyFill="1" applyBorder="1" applyAlignment="1">
      <alignment horizontal="center" vertical="center"/>
    </xf>
    <xf numFmtId="0" fontId="19" fillId="0" borderId="56" xfId="151" applyFont="1" applyFill="1" applyBorder="1" applyAlignment="1">
      <alignment horizontal="center" vertical="center"/>
    </xf>
    <xf numFmtId="0" fontId="19" fillId="6" borderId="56" xfId="151" applyFont="1" applyFill="1" applyBorder="1" applyAlignment="1">
      <alignment horizontal="center" vertical="center"/>
    </xf>
    <xf numFmtId="0" fontId="11" fillId="0" borderId="1" xfId="151" applyFont="1" applyFill="1" applyBorder="1" applyAlignment="1">
      <alignment horizontal="center" vertical="center" wrapText="1"/>
    </xf>
    <xf numFmtId="0" fontId="19" fillId="0" borderId="1" xfId="151" applyNumberFormat="1" applyFont="1" applyFill="1" applyBorder="1" applyAlignment="1">
      <alignment horizontal="center" vertical="center"/>
    </xf>
    <xf numFmtId="4" fontId="19" fillId="9" borderId="1" xfId="2218" applyNumberFormat="1" applyFont="1" applyFill="1" applyBorder="1" applyAlignment="1">
      <alignment horizontal="right" vertical="center"/>
    </xf>
    <xf numFmtId="3" fontId="19" fillId="0" borderId="1" xfId="151" applyNumberFormat="1" applyFont="1" applyFill="1" applyBorder="1" applyAlignment="1">
      <alignment horizontal="center" vertical="center"/>
    </xf>
    <xf numFmtId="0" fontId="11" fillId="0" borderId="0" xfId="151" applyFont="1" applyAlignment="1">
      <alignment horizontal="center" vertical="center" wrapText="1"/>
    </xf>
    <xf numFmtId="0" fontId="16" fillId="0" borderId="0" xfId="151" applyFont="1" applyAlignment="1">
      <alignment horizontal="center" vertical="center"/>
    </xf>
    <xf numFmtId="0" fontId="16" fillId="0" borderId="0" xfId="151" applyFont="1" applyAlignment="1">
      <alignment horizontal="center" vertical="center" wrapText="1"/>
    </xf>
    <xf numFmtId="0" fontId="27" fillId="14" borderId="90" xfId="34" applyFont="1" applyFill="1" applyBorder="1" applyAlignment="1">
      <alignment horizontal="center" vertical="center" wrapText="1"/>
    </xf>
    <xf numFmtId="0" fontId="27" fillId="14" borderId="13" xfId="34" applyFont="1" applyFill="1" applyBorder="1" applyAlignment="1">
      <alignment horizontal="center" vertical="center" wrapText="1"/>
    </xf>
    <xf numFmtId="0" fontId="28" fillId="0" borderId="1" xfId="34" applyFont="1" applyBorder="1" applyAlignment="1">
      <alignment horizontal="center"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wrapText="1"/>
    </xf>
    <xf numFmtId="0" fontId="34" fillId="0" borderId="63" xfId="34" applyFont="1" applyBorder="1" applyAlignment="1">
      <alignment horizontal="center" vertical="center" wrapText="1"/>
    </xf>
    <xf numFmtId="14" fontId="17" fillId="0" borderId="1" xfId="34" applyNumberFormat="1" applyFont="1" applyFill="1" applyBorder="1" applyAlignment="1">
      <alignment horizontal="center" vertical="center" wrapText="1"/>
    </xf>
    <xf numFmtId="14" fontId="17" fillId="0" borderId="56" xfId="34" applyNumberFormat="1" applyFont="1" applyFill="1" applyBorder="1" applyAlignment="1">
      <alignment horizontal="center" vertical="center" wrapText="1"/>
    </xf>
    <xf numFmtId="0" fontId="34" fillId="0" borderId="1" xfId="34" applyFont="1" applyBorder="1" applyAlignment="1">
      <alignment horizontal="center" vertical="center" wrapText="1"/>
    </xf>
    <xf numFmtId="0" fontId="17" fillId="0" borderId="90" xfId="34" applyFont="1" applyFill="1" applyBorder="1" applyAlignment="1">
      <alignment horizontal="left" vertical="center"/>
    </xf>
    <xf numFmtId="0" fontId="17" fillId="0" borderId="13" xfId="34" applyFont="1" applyFill="1" applyBorder="1" applyAlignment="1">
      <alignment horizontal="center" vertical="center" wrapText="1"/>
    </xf>
    <xf numFmtId="0" fontId="27" fillId="0" borderId="51" xfId="34" applyFont="1" applyBorder="1" applyAlignment="1">
      <alignment vertical="center"/>
    </xf>
    <xf numFmtId="0" fontId="31" fillId="0" borderId="55" xfId="34" applyFont="1" applyBorder="1" applyAlignment="1">
      <alignment horizontal="center" vertical="center"/>
    </xf>
    <xf numFmtId="0" fontId="17" fillId="0" borderId="1" xfId="34" applyFont="1" applyFill="1" applyBorder="1" applyAlignment="1">
      <alignment horizontal="left" vertical="center" wrapText="1"/>
    </xf>
    <xf numFmtId="0" fontId="17" fillId="0" borderId="1" xfId="34" applyFont="1" applyFill="1" applyBorder="1" applyAlignment="1">
      <alignment horizontal="justify" vertical="center" wrapText="1"/>
    </xf>
    <xf numFmtId="0" fontId="66" fillId="14" borderId="13" xfId="34" applyFont="1" applyFill="1" applyBorder="1" applyAlignment="1">
      <alignment horizontal="center" vertical="center" wrapText="1"/>
    </xf>
    <xf numFmtId="0" fontId="66" fillId="14" borderId="90" xfId="34" applyFont="1" applyFill="1" applyBorder="1" applyAlignment="1">
      <alignment horizontal="center" vertical="center" wrapText="1"/>
    </xf>
    <xf numFmtId="0" fontId="17" fillId="0" borderId="1" xfId="34" applyFont="1" applyFill="1" applyBorder="1" applyAlignment="1">
      <alignment vertical="center" wrapText="1"/>
    </xf>
    <xf numFmtId="0" fontId="59" fillId="0" borderId="1" xfId="34" applyFont="1" applyFill="1" applyBorder="1" applyAlignment="1">
      <alignment horizontal="left" vertical="center" wrapText="1"/>
    </xf>
    <xf numFmtId="0" fontId="17" fillId="0" borderId="1" xfId="34" applyFont="1" applyFill="1" applyBorder="1" applyAlignment="1">
      <alignment vertical="center"/>
    </xf>
    <xf numFmtId="0" fontId="17" fillId="0" borderId="1" xfId="95" applyFont="1" applyFill="1" applyBorder="1" applyAlignment="1">
      <alignment horizontal="left" vertical="center" wrapText="1"/>
    </xf>
    <xf numFmtId="0" fontId="17" fillId="0" borderId="1" xfId="95" applyFont="1" applyFill="1" applyBorder="1" applyAlignment="1">
      <alignment horizontal="center" vertical="center" wrapText="1"/>
    </xf>
    <xf numFmtId="0" fontId="17" fillId="0" borderId="1" xfId="95" applyFont="1" applyFill="1" applyBorder="1" applyAlignment="1">
      <alignment horizontal="left" vertical="center"/>
    </xf>
    <xf numFmtId="0" fontId="17" fillId="0" borderId="1" xfId="34" applyFont="1" applyFill="1" applyBorder="1" applyAlignment="1">
      <alignment horizontal="center" vertical="center"/>
    </xf>
    <xf numFmtId="0" fontId="31" fillId="0" borderId="25" xfId="34" applyFont="1" applyBorder="1" applyAlignment="1">
      <alignment horizontal="center" vertical="center"/>
    </xf>
    <xf numFmtId="0" fontId="17" fillId="0" borderId="1" xfId="95" applyFont="1" applyFill="1" applyBorder="1" applyAlignment="1">
      <alignment vertical="center" wrapText="1"/>
    </xf>
    <xf numFmtId="0" fontId="17" fillId="0" borderId="24" xfId="95" applyFont="1" applyFill="1" applyBorder="1" applyAlignment="1">
      <alignment vertical="center" wrapText="1"/>
    </xf>
    <xf numFmtId="0" fontId="17" fillId="0" borderId="1" xfId="0" applyFont="1" applyFill="1" applyBorder="1" applyAlignment="1">
      <alignment vertical="center" wrapText="1"/>
    </xf>
    <xf numFmtId="0" fontId="17" fillId="0" borderId="25" xfId="34" applyFont="1" applyFill="1" applyBorder="1" applyAlignment="1">
      <alignment horizontal="center" vertical="center" wrapText="1"/>
    </xf>
    <xf numFmtId="0" fontId="16" fillId="0" borderId="1" xfId="0" applyFont="1" applyBorder="1" applyAlignment="1">
      <alignment horizontal="left" vertical="center"/>
    </xf>
    <xf numFmtId="0" fontId="16" fillId="6" borderId="1" xfId="0" applyFont="1" applyFill="1" applyBorder="1" applyAlignment="1">
      <alignment horizontal="left" vertical="center" wrapText="1"/>
    </xf>
    <xf numFmtId="0" fontId="67" fillId="0"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13" xfId="0" applyFont="1" applyBorder="1" applyAlignment="1">
      <alignment horizontal="left" vertical="center"/>
    </xf>
    <xf numFmtId="0" fontId="16" fillId="6" borderId="13"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7" fillId="0" borderId="25" xfId="95" applyFont="1" applyFill="1" applyBorder="1" applyAlignment="1">
      <alignment vertical="center" wrapText="1"/>
    </xf>
    <xf numFmtId="0" fontId="17" fillId="0" borderId="1" xfId="0" applyFont="1" applyBorder="1" applyAlignment="1">
      <alignment horizontal="left" vertical="center"/>
    </xf>
    <xf numFmtId="0" fontId="17" fillId="6" borderId="93" xfId="0" applyFont="1" applyFill="1" applyBorder="1" applyAlignment="1">
      <alignment horizontal="left" vertical="center" wrapText="1"/>
    </xf>
    <xf numFmtId="0" fontId="16" fillId="0" borderId="62" xfId="34" applyFont="1" applyBorder="1" applyAlignment="1">
      <alignment horizontal="left" vertical="center"/>
    </xf>
    <xf numFmtId="0" fontId="16" fillId="0" borderId="61" xfId="34" applyFont="1" applyBorder="1" applyAlignment="1">
      <alignment horizontal="center" vertical="center"/>
    </xf>
    <xf numFmtId="0" fontId="16" fillId="0" borderId="55" xfId="34" applyFont="1" applyBorder="1" applyAlignment="1">
      <alignment horizontal="left" vertical="center"/>
    </xf>
    <xf numFmtId="0" fontId="16" fillId="0" borderId="24" xfId="34" applyFont="1" applyBorder="1" applyAlignment="1">
      <alignment horizontal="center" vertical="center"/>
    </xf>
    <xf numFmtId="0" fontId="16" fillId="0" borderId="57" xfId="34" applyFont="1" applyBorder="1" applyAlignment="1">
      <alignment horizontal="left" vertical="center"/>
    </xf>
    <xf numFmtId="0" fontId="16" fillId="0" borderId="58" xfId="34" applyFont="1" applyBorder="1" applyAlignment="1">
      <alignment horizontal="center" vertical="center"/>
    </xf>
    <xf numFmtId="0" fontId="31" fillId="0" borderId="107" xfId="34" applyFont="1" applyBorder="1" applyAlignment="1">
      <alignment horizontal="center" vertical="center"/>
    </xf>
    <xf numFmtId="0" fontId="17" fillId="0" borderId="13" xfId="34" applyFont="1" applyFill="1" applyBorder="1" applyAlignment="1">
      <alignment horizontal="justify" vertical="center" wrapText="1"/>
    </xf>
    <xf numFmtId="0" fontId="34" fillId="0" borderId="13" xfId="34" applyFont="1" applyBorder="1" applyAlignment="1">
      <alignment horizontal="center" vertical="center" wrapText="1"/>
    </xf>
    <xf numFmtId="14" fontId="17" fillId="0" borderId="13" xfId="34" applyNumberFormat="1" applyFont="1" applyFill="1" applyBorder="1" applyAlignment="1">
      <alignment horizontal="center" vertical="center" wrapText="1"/>
    </xf>
    <xf numFmtId="14" fontId="17" fillId="0" borderId="129" xfId="34" applyNumberFormat="1" applyFont="1" applyFill="1" applyBorder="1" applyAlignment="1">
      <alignment horizontal="center" vertical="center" wrapText="1"/>
    </xf>
    <xf numFmtId="0" fontId="27" fillId="0" borderId="102" xfId="34" applyFont="1" applyBorder="1" applyAlignment="1">
      <alignment horizontal="left" vertical="center"/>
    </xf>
    <xf numFmtId="0" fontId="16" fillId="0" borderId="127" xfId="34" applyFont="1" applyFill="1" applyBorder="1" applyAlignment="1">
      <alignment horizontal="justify" vertical="center" wrapText="1"/>
    </xf>
    <xf numFmtId="0" fontId="16" fillId="0" borderId="127" xfId="34" applyFont="1" applyFill="1" applyBorder="1" applyAlignment="1">
      <alignment vertical="center" wrapText="1"/>
    </xf>
    <xf numFmtId="0" fontId="16" fillId="0" borderId="127" xfId="34" applyFont="1" applyFill="1" applyBorder="1" applyAlignment="1">
      <alignment horizontal="center" vertical="center" wrapText="1"/>
    </xf>
    <xf numFmtId="0" fontId="31" fillId="0" borderId="127" xfId="34" applyFont="1" applyBorder="1" applyAlignment="1">
      <alignment horizontal="center" vertical="center" wrapText="1"/>
    </xf>
    <xf numFmtId="14" fontId="16" fillId="0" borderId="127" xfId="34" applyNumberFormat="1" applyFont="1" applyFill="1" applyBorder="1" applyAlignment="1">
      <alignment horizontal="center" vertical="center" wrapText="1"/>
    </xf>
    <xf numFmtId="14" fontId="16" fillId="0" borderId="104" xfId="34" applyNumberFormat="1" applyFont="1" applyFill="1" applyBorder="1" applyAlignment="1">
      <alignment horizontal="center" vertical="center" wrapText="1"/>
    </xf>
    <xf numFmtId="0" fontId="11" fillId="6" borderId="83" xfId="2264" applyNumberFormat="1" applyFont="1" applyFill="1" applyBorder="1" applyAlignment="1" applyProtection="1">
      <alignment horizontal="justify" vertical="center" wrapText="1"/>
      <protection locked="0"/>
    </xf>
    <xf numFmtId="0" fontId="11" fillId="6" borderId="83" xfId="34" applyFont="1" applyFill="1" applyBorder="1" applyAlignment="1" applyProtection="1">
      <alignment horizontal="justify" vertical="center" wrapText="1"/>
    </xf>
    <xf numFmtId="176" fontId="19" fillId="6" borderId="26" xfId="34" applyNumberFormat="1" applyFont="1" applyFill="1" applyBorder="1" applyAlignment="1" applyProtection="1">
      <alignment vertical="center"/>
    </xf>
    <xf numFmtId="176" fontId="19" fillId="6" borderId="1" xfId="34" applyNumberFormat="1" applyFont="1" applyFill="1" applyBorder="1" applyAlignment="1" applyProtection="1">
      <alignment vertical="center"/>
    </xf>
    <xf numFmtId="176" fontId="19" fillId="6" borderId="24" xfId="34" applyNumberFormat="1" applyFont="1" applyFill="1" applyBorder="1" applyAlignment="1" applyProtection="1">
      <alignment vertical="center"/>
    </xf>
    <xf numFmtId="0" fontId="16" fillId="6" borderId="26"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6" fillId="6" borderId="25"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xf>
    <xf numFmtId="0" fontId="16" fillId="6" borderId="0" xfId="0" applyFont="1" applyFill="1" applyAlignment="1" applyProtection="1">
      <alignment vertical="center"/>
      <protection locked="0"/>
    </xf>
    <xf numFmtId="0" fontId="16" fillId="6" borderId="80" xfId="0" applyFont="1" applyFill="1" applyBorder="1" applyAlignment="1" applyProtection="1">
      <alignment horizontal="center" vertical="center" wrapText="1"/>
      <protection locked="0"/>
    </xf>
    <xf numFmtId="1" fontId="60" fillId="6" borderId="26" xfId="212" applyNumberFormat="1" applyFont="1" applyFill="1" applyBorder="1" applyAlignment="1" applyProtection="1">
      <alignment horizontal="center" vertical="center" wrapText="1"/>
      <protection locked="0"/>
    </xf>
    <xf numFmtId="1" fontId="60" fillId="6" borderId="24" xfId="0" applyNumberFormat="1" applyFont="1" applyFill="1" applyBorder="1" applyAlignment="1" applyProtection="1">
      <alignment horizontal="center" vertical="center" wrapText="1"/>
      <protection locked="0"/>
    </xf>
    <xf numFmtId="176" fontId="19" fillId="6" borderId="1" xfId="0" applyNumberFormat="1" applyFont="1" applyFill="1" applyBorder="1" applyAlignment="1" applyProtection="1">
      <alignment vertical="center"/>
      <protection locked="0"/>
    </xf>
    <xf numFmtId="0" fontId="30" fillId="12" borderId="82" xfId="0" applyFont="1" applyFill="1" applyBorder="1" applyAlignment="1">
      <alignment horizontal="center" vertical="center" wrapText="1"/>
    </xf>
    <xf numFmtId="0" fontId="27" fillId="12" borderId="82" xfId="0" applyFont="1" applyFill="1" applyBorder="1" applyAlignment="1">
      <alignment horizontal="center" vertical="center" wrapText="1"/>
    </xf>
    <xf numFmtId="0" fontId="27" fillId="12" borderId="82" xfId="0" applyFont="1" applyFill="1" applyBorder="1" applyAlignment="1">
      <alignment horizontal="center" vertical="center"/>
    </xf>
    <xf numFmtId="0" fontId="33" fillId="12" borderId="82" xfId="0" applyFont="1" applyFill="1" applyBorder="1" applyAlignment="1">
      <alignment horizontal="center" vertical="center" wrapText="1"/>
    </xf>
    <xf numFmtId="0" fontId="11" fillId="0" borderId="135" xfId="212" applyFont="1" applyFill="1" applyBorder="1" applyAlignment="1" applyProtection="1">
      <alignment horizontal="left" vertical="center" wrapText="1"/>
      <protection locked="0"/>
    </xf>
    <xf numFmtId="1" fontId="27" fillId="12" borderId="103" xfId="212" applyNumberFormat="1" applyFont="1" applyFill="1" applyBorder="1" applyAlignment="1" applyProtection="1">
      <alignment horizontal="left" vertical="center" wrapText="1"/>
      <protection locked="0"/>
    </xf>
    <xf numFmtId="0" fontId="66" fillId="12" borderId="42" xfId="0" applyFont="1" applyFill="1" applyBorder="1" applyAlignment="1" applyProtection="1">
      <alignment horizontal="center" vertical="center" wrapText="1"/>
      <protection locked="0"/>
    </xf>
    <xf numFmtId="0" fontId="66" fillId="12" borderId="42" xfId="0" applyFont="1" applyFill="1" applyBorder="1" applyAlignment="1" applyProtection="1">
      <alignment horizontal="justify" vertical="center" wrapText="1"/>
      <protection locked="0"/>
    </xf>
    <xf numFmtId="0" fontId="66" fillId="12" borderId="42" xfId="0" applyFont="1" applyFill="1" applyBorder="1" applyAlignment="1" applyProtection="1">
      <alignment horizontal="left" vertical="center" wrapText="1"/>
      <protection locked="0"/>
    </xf>
    <xf numFmtId="16" fontId="16" fillId="0" borderId="107" xfId="34" applyNumberFormat="1" applyFont="1" applyFill="1" applyBorder="1" applyAlignment="1" applyProtection="1">
      <alignment horizontal="center" vertical="center"/>
      <protection locked="0"/>
    </xf>
    <xf numFmtId="16" fontId="16" fillId="0" borderId="129" xfId="34" applyNumberFormat="1" applyFont="1" applyFill="1" applyBorder="1" applyAlignment="1" applyProtection="1">
      <alignment horizontal="center" vertical="center"/>
      <protection locked="0"/>
    </xf>
    <xf numFmtId="0" fontId="17" fillId="12" borderId="42" xfId="212" applyFont="1" applyFill="1" applyBorder="1" applyAlignment="1" applyProtection="1">
      <alignment horizontal="center" vertical="center" wrapText="1"/>
      <protection locked="0"/>
    </xf>
    <xf numFmtId="0" fontId="66" fillId="12" borderId="43" xfId="0" applyFont="1" applyFill="1" applyBorder="1" applyAlignment="1" applyProtection="1">
      <alignment horizontal="justify" vertical="center" wrapText="1"/>
      <protection locked="0"/>
    </xf>
    <xf numFmtId="16" fontId="16" fillId="6" borderId="107" xfId="34" applyNumberFormat="1" applyFont="1" applyFill="1" applyBorder="1" applyAlignment="1" applyProtection="1">
      <alignment horizontal="center" vertical="center"/>
      <protection locked="0"/>
    </xf>
    <xf numFmtId="16" fontId="16" fillId="6" borderId="129" xfId="34" applyNumberFormat="1" applyFont="1" applyFill="1" applyBorder="1" applyAlignment="1" applyProtection="1">
      <alignment horizontal="center" vertical="center"/>
      <protection locked="0"/>
    </xf>
    <xf numFmtId="16" fontId="16" fillId="6" borderId="105" xfId="0" applyNumberFormat="1" applyFont="1" applyFill="1" applyBorder="1" applyAlignment="1" applyProtection="1">
      <alignment horizontal="center" vertical="center"/>
      <protection locked="0"/>
    </xf>
    <xf numFmtId="16" fontId="16" fillId="12" borderId="102" xfId="0" applyNumberFormat="1" applyFont="1" applyFill="1" applyBorder="1" applyAlignment="1" applyProtection="1">
      <alignment horizontal="center" vertical="center"/>
      <protection locked="0"/>
    </xf>
    <xf numFmtId="0" fontId="11" fillId="6" borderId="139" xfId="34" applyNumberFormat="1" applyFont="1" applyFill="1" applyBorder="1" applyAlignment="1" applyProtection="1">
      <alignment horizontal="justify" vertical="center" wrapText="1"/>
    </xf>
    <xf numFmtId="0" fontId="11" fillId="0" borderId="139" xfId="34" applyFont="1" applyFill="1" applyBorder="1" applyAlignment="1" applyProtection="1">
      <alignment horizontal="justify" vertical="center" wrapText="1"/>
    </xf>
    <xf numFmtId="1" fontId="28" fillId="0" borderId="66" xfId="0" applyNumberFormat="1" applyFont="1" applyFill="1" applyBorder="1" applyAlignment="1" applyProtection="1">
      <alignment horizontal="center" vertical="center" wrapText="1"/>
      <protection locked="0"/>
    </xf>
    <xf numFmtId="176" fontId="16" fillId="0" borderId="135" xfId="0" applyNumberFormat="1" applyFont="1" applyFill="1" applyBorder="1" applyAlignment="1" applyProtection="1">
      <alignment horizontal="center" vertical="center" wrapText="1"/>
      <protection locked="0"/>
    </xf>
    <xf numFmtId="176" fontId="19" fillId="0" borderId="119" xfId="34" applyNumberFormat="1" applyFont="1" applyFill="1" applyBorder="1" applyAlignment="1" applyProtection="1">
      <alignment vertical="center" wrapText="1"/>
    </xf>
    <xf numFmtId="176" fontId="19" fillId="0" borderId="26" xfId="224" applyNumberFormat="1" applyFont="1" applyBorder="1" applyAlignment="1">
      <alignment vertical="center"/>
    </xf>
    <xf numFmtId="176" fontId="19" fillId="0" borderId="1" xfId="224" applyNumberFormat="1" applyFont="1" applyBorder="1" applyAlignment="1">
      <alignment vertical="center" wrapText="1"/>
    </xf>
    <xf numFmtId="176" fontId="19" fillId="0" borderId="1" xfId="224" applyNumberFormat="1" applyFont="1" applyBorder="1" applyAlignment="1">
      <alignment vertical="center"/>
    </xf>
    <xf numFmtId="0" fontId="66" fillId="12" borderId="42" xfId="0" applyFont="1" applyFill="1" applyBorder="1" applyAlignment="1" applyProtection="1">
      <alignment horizontal="justify" vertical="center" wrapText="1"/>
    </xf>
    <xf numFmtId="0" fontId="12" fillId="12" borderId="42" xfId="0" applyFont="1" applyFill="1" applyBorder="1" applyAlignment="1" applyProtection="1">
      <alignment horizontal="center" vertical="center" wrapText="1"/>
    </xf>
    <xf numFmtId="1" fontId="27" fillId="12" borderId="103" xfId="0" applyNumberFormat="1" applyFont="1" applyFill="1" applyBorder="1" applyAlignment="1" applyProtection="1">
      <alignment horizontal="center" vertical="center" wrapText="1"/>
    </xf>
    <xf numFmtId="0" fontId="66" fillId="12" borderId="102" xfId="0" applyFont="1" applyFill="1" applyBorder="1" applyAlignment="1" applyProtection="1">
      <alignment horizontal="justify" vertical="center" wrapText="1"/>
    </xf>
    <xf numFmtId="0" fontId="11" fillId="0" borderId="136" xfId="212" applyFont="1" applyFill="1" applyBorder="1" applyAlignment="1" applyProtection="1">
      <alignment horizontal="justify" vertical="center" wrapText="1"/>
      <protection locked="0"/>
    </xf>
    <xf numFmtId="0" fontId="16" fillId="0" borderId="136" xfId="0" applyFont="1" applyFill="1" applyBorder="1" applyAlignment="1" applyProtection="1">
      <alignment horizontal="center" vertical="center" wrapText="1"/>
      <protection locked="0"/>
    </xf>
    <xf numFmtId="0" fontId="16" fillId="6" borderId="136" xfId="34" applyFont="1" applyFill="1" applyBorder="1" applyAlignment="1" applyProtection="1">
      <alignment horizontal="center" vertical="center" wrapText="1"/>
    </xf>
    <xf numFmtId="176" fontId="11" fillId="6" borderId="128" xfId="34" applyNumberFormat="1" applyFont="1" applyFill="1" applyBorder="1" applyAlignment="1" applyProtection="1">
      <alignment horizontal="right" vertical="center"/>
    </xf>
    <xf numFmtId="176" fontId="11" fillId="0" borderId="13" xfId="34" applyNumberFormat="1" applyFont="1" applyFill="1" applyBorder="1" applyAlignment="1" applyProtection="1">
      <alignment horizontal="right" vertical="center" wrapText="1"/>
    </xf>
    <xf numFmtId="176" fontId="11" fillId="0" borderId="90" xfId="34" applyNumberFormat="1" applyFont="1" applyFill="1" applyBorder="1" applyAlignment="1" applyProtection="1">
      <alignment horizontal="right" vertical="center" wrapText="1"/>
    </xf>
    <xf numFmtId="1" fontId="28" fillId="0" borderId="135" xfId="0" applyNumberFormat="1" applyFont="1" applyFill="1" applyBorder="1" applyAlignment="1" applyProtection="1">
      <alignment horizontal="center" vertical="center" wrapText="1"/>
      <protection locked="0"/>
    </xf>
    <xf numFmtId="0" fontId="17" fillId="0" borderId="139" xfId="212" applyFont="1" applyFill="1" applyBorder="1" applyAlignment="1" applyProtection="1">
      <alignment horizontal="center" vertical="center" wrapText="1"/>
      <protection locked="0"/>
    </xf>
    <xf numFmtId="176" fontId="69" fillId="0" borderId="33" xfId="0" applyNumberFormat="1" applyFont="1" applyFill="1" applyBorder="1" applyAlignment="1" applyProtection="1">
      <alignment horizontal="right" vertical="center" wrapText="1"/>
      <protection locked="0"/>
    </xf>
    <xf numFmtId="176" fontId="69" fillId="0" borderId="85" xfId="0" applyNumberFormat="1" applyFont="1" applyFill="1" applyBorder="1" applyAlignment="1" applyProtection="1">
      <alignment horizontal="right" vertical="center" wrapText="1"/>
      <protection locked="0"/>
    </xf>
    <xf numFmtId="1" fontId="28" fillId="0" borderId="136" xfId="0" applyNumberFormat="1" applyFont="1" applyFill="1" applyBorder="1" applyAlignment="1" applyProtection="1">
      <alignment horizontal="center" vertical="center" wrapText="1"/>
      <protection locked="0"/>
    </xf>
    <xf numFmtId="176" fontId="11" fillId="0" borderId="13" xfId="0" applyNumberFormat="1" applyFont="1" applyBorder="1" applyAlignment="1" applyProtection="1">
      <alignment horizontal="right" vertical="center"/>
      <protection locked="0"/>
    </xf>
    <xf numFmtId="0" fontId="11" fillId="6" borderId="135" xfId="0" applyFont="1" applyFill="1" applyBorder="1" applyAlignment="1" applyProtection="1">
      <alignment horizontal="justify" vertical="center"/>
    </xf>
    <xf numFmtId="1" fontId="27" fillId="6" borderId="119" xfId="0" applyNumberFormat="1" applyFont="1" applyFill="1" applyBorder="1" applyAlignment="1" applyProtection="1">
      <alignment horizontal="center" vertical="center" wrapText="1"/>
    </xf>
    <xf numFmtId="176" fontId="11" fillId="0" borderId="119" xfId="0" applyNumberFormat="1" applyFont="1" applyFill="1" applyBorder="1" applyAlignment="1" applyProtection="1">
      <alignment horizontal="right" vertical="center"/>
    </xf>
    <xf numFmtId="176" fontId="66" fillId="6" borderId="33" xfId="0" applyNumberFormat="1" applyFont="1" applyFill="1" applyBorder="1" applyAlignment="1" applyProtection="1">
      <alignment horizontal="right" vertical="center"/>
    </xf>
    <xf numFmtId="176" fontId="66" fillId="0" borderId="33" xfId="0" applyNumberFormat="1" applyFont="1" applyFill="1" applyBorder="1" applyAlignment="1" applyProtection="1">
      <alignment horizontal="right" vertical="center"/>
    </xf>
    <xf numFmtId="176" fontId="66" fillId="0" borderId="66" xfId="0" applyNumberFormat="1" applyFont="1" applyFill="1" applyBorder="1" applyAlignment="1" applyProtection="1">
      <alignment horizontal="right" vertical="center"/>
    </xf>
    <xf numFmtId="0" fontId="66" fillId="12" borderId="43" xfId="0" applyFont="1" applyFill="1" applyBorder="1" applyAlignment="1" applyProtection="1">
      <alignment horizontal="justify" vertical="center" wrapText="1"/>
    </xf>
    <xf numFmtId="0" fontId="17" fillId="12" borderId="40" xfId="0" applyFont="1" applyFill="1" applyBorder="1" applyAlignment="1" applyProtection="1">
      <alignment horizontal="center" vertical="center" wrapText="1"/>
      <protection locked="0"/>
    </xf>
    <xf numFmtId="0" fontId="17" fillId="0" borderId="85" xfId="34" applyFont="1" applyFill="1" applyBorder="1" applyAlignment="1" applyProtection="1">
      <alignment horizontal="center" vertical="center" wrapText="1"/>
      <protection locked="0"/>
    </xf>
    <xf numFmtId="0" fontId="17" fillId="0" borderId="25" xfId="34" applyFont="1" applyFill="1" applyBorder="1" applyAlignment="1" applyProtection="1">
      <alignment horizontal="center" vertical="center" wrapText="1"/>
      <protection locked="0"/>
    </xf>
    <xf numFmtId="1" fontId="66" fillId="12" borderId="42" xfId="0" applyNumberFormat="1" applyFont="1" applyFill="1" applyBorder="1" applyAlignment="1" applyProtection="1">
      <alignment horizontal="center" vertical="center" wrapText="1"/>
      <protection locked="0"/>
    </xf>
    <xf numFmtId="176" fontId="15" fillId="0" borderId="135" xfId="0" applyNumberFormat="1" applyFont="1" applyFill="1" applyBorder="1" applyAlignment="1" applyProtection="1">
      <alignment horizontal="center" vertical="center" wrapText="1"/>
      <protection locked="0"/>
    </xf>
    <xf numFmtId="1" fontId="28" fillId="0" borderId="90" xfId="34" applyNumberFormat="1" applyFont="1" applyFill="1" applyBorder="1" applyAlignment="1" applyProtection="1">
      <alignment horizontal="center" vertical="center" wrapText="1"/>
      <protection locked="0"/>
    </xf>
    <xf numFmtId="176" fontId="15" fillId="0" borderId="134" xfId="0" applyNumberFormat="1" applyFont="1" applyFill="1" applyBorder="1" applyAlignment="1" applyProtection="1">
      <alignment horizontal="center" vertical="center" wrapText="1"/>
      <protection locked="0"/>
    </xf>
    <xf numFmtId="0" fontId="17" fillId="0" borderId="93" xfId="2264" applyFont="1" applyFill="1" applyBorder="1" applyAlignment="1" applyProtection="1">
      <alignment horizontal="center" vertical="center" wrapText="1"/>
      <protection locked="0"/>
    </xf>
    <xf numFmtId="0" fontId="11" fillId="0" borderId="135" xfId="212" applyFont="1" applyFill="1" applyBorder="1" applyAlignment="1" applyProtection="1">
      <alignment horizontal="justify" vertical="center" wrapText="1"/>
      <protection locked="0"/>
    </xf>
    <xf numFmtId="1" fontId="27" fillId="0" borderId="66" xfId="0" applyNumberFormat="1" applyFont="1" applyFill="1" applyBorder="1" applyAlignment="1" applyProtection="1">
      <alignment horizontal="center" vertical="center" wrapText="1"/>
      <protection locked="0"/>
    </xf>
    <xf numFmtId="0" fontId="17" fillId="12" borderId="40" xfId="212" applyFont="1" applyFill="1" applyBorder="1" applyAlignment="1" applyProtection="1">
      <alignment horizontal="center" vertical="center" wrapText="1"/>
      <protection locked="0"/>
    </xf>
    <xf numFmtId="0" fontId="17" fillId="0" borderId="85" xfId="212" applyFont="1" applyFill="1" applyBorder="1" applyAlignment="1" applyProtection="1">
      <alignment horizontal="center" vertical="center" wrapText="1"/>
      <protection locked="0"/>
    </xf>
    <xf numFmtId="0" fontId="17" fillId="0" borderId="25" xfId="212" applyFont="1" applyFill="1" applyBorder="1" applyAlignment="1" applyProtection="1">
      <alignment horizontal="center" vertical="center" wrapText="1"/>
      <protection locked="0"/>
    </xf>
    <xf numFmtId="0" fontId="17" fillId="0" borderId="93" xfId="212" applyFont="1" applyFill="1" applyBorder="1" applyAlignment="1" applyProtection="1">
      <alignment horizontal="center" vertical="center" wrapText="1"/>
      <protection locked="0"/>
    </xf>
    <xf numFmtId="1" fontId="11" fillId="0" borderId="135" xfId="0" applyNumberFormat="1" applyFont="1" applyFill="1" applyBorder="1" applyAlignment="1" applyProtection="1">
      <alignment horizontal="center" vertical="center" wrapText="1"/>
      <protection locked="0"/>
    </xf>
    <xf numFmtId="1" fontId="11" fillId="0" borderId="80" xfId="0" applyNumberFormat="1" applyFont="1" applyFill="1" applyBorder="1" applyAlignment="1" applyProtection="1">
      <alignment horizontal="center" vertical="center" wrapText="1"/>
      <protection locked="0"/>
    </xf>
    <xf numFmtId="0" fontId="66" fillId="12" borderId="40" xfId="0" applyFont="1" applyFill="1" applyBorder="1" applyAlignment="1" applyProtection="1">
      <alignment horizontal="left" vertical="center" wrapText="1"/>
      <protection locked="0"/>
    </xf>
    <xf numFmtId="1" fontId="11" fillId="0" borderId="136" xfId="0" applyNumberFormat="1" applyFont="1" applyFill="1" applyBorder="1" applyAlignment="1" applyProtection="1">
      <alignment horizontal="center" vertical="center" wrapText="1"/>
      <protection locked="0"/>
    </xf>
    <xf numFmtId="1" fontId="28" fillId="0" borderId="81" xfId="0" applyNumberFormat="1" applyFont="1" applyFill="1" applyBorder="1" applyAlignment="1" applyProtection="1">
      <alignment horizontal="center" vertical="center" wrapText="1"/>
      <protection locked="0"/>
    </xf>
    <xf numFmtId="1" fontId="27" fillId="12" borderId="135" xfId="0" applyNumberFormat="1" applyFont="1" applyFill="1" applyBorder="1" applyAlignment="1" applyProtection="1">
      <alignment horizontal="center" vertical="center" wrapText="1"/>
    </xf>
    <xf numFmtId="1" fontId="27" fillId="12" borderId="42" xfId="0" applyNumberFormat="1" applyFont="1" applyFill="1" applyBorder="1" applyAlignment="1" applyProtection="1">
      <alignment horizontal="center" vertical="center" wrapText="1"/>
    </xf>
    <xf numFmtId="0" fontId="61" fillId="0" borderId="135" xfId="0" applyFont="1" applyFill="1" applyBorder="1" applyAlignment="1" applyProtection="1">
      <alignment horizontal="center" vertical="center" wrapText="1"/>
      <protection locked="0"/>
    </xf>
    <xf numFmtId="0" fontId="61" fillId="0" borderId="81" xfId="0" applyFont="1" applyFill="1" applyBorder="1" applyAlignment="1" applyProtection="1">
      <alignment horizontal="center" vertical="center" wrapText="1"/>
      <protection locked="0"/>
    </xf>
    <xf numFmtId="0" fontId="67" fillId="12" borderId="40" xfId="212" applyFont="1" applyFill="1" applyBorder="1" applyAlignment="1" applyProtection="1">
      <alignment horizontal="center" vertical="center" wrapText="1"/>
      <protection locked="0"/>
    </xf>
    <xf numFmtId="0" fontId="11" fillId="0" borderId="24" xfId="34" applyFont="1" applyFill="1" applyBorder="1" applyAlignment="1" applyProtection="1">
      <alignment horizontal="justify" vertical="center" wrapText="1"/>
    </xf>
    <xf numFmtId="0" fontId="11" fillId="0" borderId="140" xfId="34" applyFont="1" applyFill="1" applyBorder="1" applyAlignment="1" applyProtection="1">
      <alignment horizontal="justify" vertical="center" wrapText="1"/>
    </xf>
    <xf numFmtId="0" fontId="66" fillId="12" borderId="82" xfId="0" applyFont="1" applyFill="1" applyBorder="1" applyAlignment="1" applyProtection="1">
      <alignment horizontal="justify" vertical="center" wrapText="1"/>
      <protection locked="0"/>
    </xf>
    <xf numFmtId="0" fontId="66" fillId="12" borderId="82" xfId="0" applyFont="1" applyFill="1" applyBorder="1" applyAlignment="1" applyProtection="1">
      <alignment horizontal="center" vertical="center" wrapText="1"/>
      <protection locked="0"/>
    </xf>
    <xf numFmtId="0" fontId="16" fillId="6" borderId="79" xfId="34" applyFont="1" applyFill="1" applyBorder="1" applyAlignment="1" applyProtection="1">
      <alignment horizontal="center" vertical="center" wrapText="1"/>
    </xf>
    <xf numFmtId="0" fontId="17" fillId="6" borderId="0" xfId="34" applyFont="1" applyFill="1" applyBorder="1" applyAlignment="1" applyProtection="1">
      <alignment horizontal="center" vertical="center" wrapText="1"/>
      <protection locked="0"/>
    </xf>
    <xf numFmtId="0" fontId="17" fillId="6" borderId="93" xfId="34" applyFont="1" applyFill="1" applyBorder="1" applyAlignment="1" applyProtection="1">
      <alignment horizontal="center" vertical="center" wrapText="1"/>
      <protection locked="0"/>
    </xf>
    <xf numFmtId="0" fontId="17" fillId="6" borderId="25" xfId="34" applyFont="1" applyFill="1" applyBorder="1" applyAlignment="1" applyProtection="1">
      <alignment horizontal="center" vertical="center" wrapText="1"/>
      <protection locked="0"/>
    </xf>
    <xf numFmtId="1" fontId="27" fillId="12" borderId="82" xfId="0" applyNumberFormat="1" applyFont="1" applyFill="1" applyBorder="1" applyAlignment="1" applyProtection="1">
      <alignment horizontal="center" vertical="center" wrapText="1"/>
      <protection locked="0"/>
    </xf>
    <xf numFmtId="2" fontId="19" fillId="6" borderId="79" xfId="34" applyNumberFormat="1" applyFont="1" applyFill="1" applyBorder="1" applyAlignment="1" applyProtection="1">
      <alignment horizontal="center" vertical="center"/>
      <protection locked="0"/>
    </xf>
    <xf numFmtId="2" fontId="19" fillId="6" borderId="80" xfId="34" applyNumberFormat="1" applyFont="1" applyFill="1" applyBorder="1" applyAlignment="1" applyProtection="1">
      <alignment horizontal="center" vertical="center"/>
      <protection locked="0"/>
    </xf>
    <xf numFmtId="2" fontId="19" fillId="0" borderId="80" xfId="34" applyNumberFormat="1" applyFont="1" applyFill="1" applyBorder="1" applyAlignment="1" applyProtection="1">
      <alignment horizontal="center" vertical="center"/>
      <protection locked="0"/>
    </xf>
    <xf numFmtId="2" fontId="19" fillId="6" borderId="136" xfId="34" applyNumberFormat="1" applyFont="1" applyFill="1" applyBorder="1" applyAlignment="1" applyProtection="1">
      <alignment horizontal="center" vertical="center"/>
      <protection locked="0"/>
    </xf>
    <xf numFmtId="0" fontId="11" fillId="0" borderId="85" xfId="212" applyFont="1" applyFill="1" applyBorder="1" applyAlignment="1" applyProtection="1">
      <alignment horizontal="justify" vertical="center" wrapText="1"/>
      <protection locked="0"/>
    </xf>
    <xf numFmtId="0" fontId="11" fillId="0" borderId="25" xfId="212" applyFont="1" applyFill="1" applyBorder="1" applyAlignment="1" applyProtection="1">
      <alignment horizontal="justify" vertical="center" wrapText="1"/>
      <protection locked="0"/>
    </xf>
    <xf numFmtId="0" fontId="11" fillId="0" borderId="93" xfId="212" applyFont="1" applyFill="1" applyBorder="1" applyAlignment="1" applyProtection="1">
      <alignment horizontal="justify" vertical="center" wrapText="1"/>
      <protection locked="0"/>
    </xf>
    <xf numFmtId="0" fontId="11" fillId="0" borderId="79" xfId="212" applyFont="1" applyFill="1" applyBorder="1" applyAlignment="1" applyProtection="1">
      <alignment horizontal="justify" vertical="center" wrapText="1"/>
      <protection locked="0"/>
    </xf>
    <xf numFmtId="0" fontId="69" fillId="0" borderId="80" xfId="212" applyFont="1" applyFill="1" applyBorder="1" applyAlignment="1" applyProtection="1">
      <alignment horizontal="justify" vertical="center" wrapText="1"/>
      <protection locked="0"/>
    </xf>
    <xf numFmtId="0" fontId="16" fillId="0" borderId="79" xfId="0" applyFont="1" applyFill="1" applyBorder="1" applyAlignment="1" applyProtection="1">
      <alignment horizontal="center" vertical="center" wrapText="1"/>
      <protection locked="0"/>
    </xf>
    <xf numFmtId="0" fontId="11" fillId="6" borderId="139" xfId="0" applyFont="1" applyFill="1" applyBorder="1" applyAlignment="1" applyProtection="1">
      <alignment horizontal="justify" vertical="center" wrapText="1"/>
    </xf>
    <xf numFmtId="0" fontId="11" fillId="6" borderId="83" xfId="34" applyFont="1" applyFill="1" applyBorder="1" applyAlignment="1" applyProtection="1">
      <alignment horizontal="left" vertical="center" wrapText="1"/>
    </xf>
    <xf numFmtId="0" fontId="11" fillId="6" borderId="140" xfId="34" applyFont="1" applyFill="1" applyBorder="1" applyAlignment="1" applyProtection="1">
      <alignment horizontal="justify" vertical="center" wrapText="1"/>
    </xf>
    <xf numFmtId="1" fontId="27" fillId="6" borderId="66" xfId="0" applyNumberFormat="1" applyFont="1" applyFill="1" applyBorder="1" applyAlignment="1" applyProtection="1">
      <alignment horizontal="center" vertical="center" wrapText="1"/>
      <protection locked="0"/>
    </xf>
    <xf numFmtId="1" fontId="19" fillId="6" borderId="24" xfId="34" applyNumberFormat="1" applyFont="1" applyFill="1" applyBorder="1" applyAlignment="1" applyProtection="1">
      <alignment horizontal="center" vertical="center" wrapText="1"/>
      <protection locked="0"/>
    </xf>
    <xf numFmtId="1" fontId="19" fillId="0" borderId="24" xfId="34" applyNumberFormat="1" applyFont="1" applyFill="1" applyBorder="1" applyAlignment="1" applyProtection="1">
      <alignment horizontal="center" vertical="center" wrapText="1"/>
      <protection locked="0"/>
    </xf>
    <xf numFmtId="1" fontId="19" fillId="6" borderId="90" xfId="34" applyNumberFormat="1" applyFont="1" applyFill="1" applyBorder="1" applyAlignment="1" applyProtection="1">
      <alignment horizontal="center" vertical="center" wrapText="1"/>
      <protection locked="0"/>
    </xf>
    <xf numFmtId="176" fontId="16" fillId="0" borderId="135" xfId="34" applyNumberFormat="1" applyFont="1" applyFill="1" applyBorder="1" applyAlignment="1" applyProtection="1">
      <alignment horizontal="center" vertical="center" wrapText="1"/>
      <protection locked="0"/>
    </xf>
    <xf numFmtId="176" fontId="16" fillId="0" borderId="80" xfId="34" applyNumberFormat="1" applyFont="1" applyFill="1" applyBorder="1" applyAlignment="1" applyProtection="1">
      <alignment horizontal="center" vertical="center" wrapText="1"/>
      <protection locked="0"/>
    </xf>
    <xf numFmtId="176" fontId="19" fillId="6" borderId="25" xfId="45" applyNumberFormat="1" applyFont="1" applyFill="1" applyBorder="1" applyAlignment="1" applyProtection="1">
      <alignment vertical="center" wrapText="1"/>
      <protection locked="0"/>
    </xf>
    <xf numFmtId="1" fontId="27" fillId="12" borderId="81" xfId="0" applyNumberFormat="1" applyFont="1" applyFill="1" applyBorder="1" applyAlignment="1" applyProtection="1">
      <alignment horizontal="center" vertical="center" wrapText="1"/>
    </xf>
    <xf numFmtId="0" fontId="12" fillId="5" borderId="119" xfId="0" applyNumberFormat="1" applyFont="1" applyFill="1" applyBorder="1" applyAlignment="1" applyProtection="1">
      <alignment horizontal="center" vertical="center"/>
    </xf>
    <xf numFmtId="0" fontId="33" fillId="12" borderId="14" xfId="0" applyFont="1" applyFill="1" applyBorder="1" applyAlignment="1" applyProtection="1">
      <alignment horizontal="center" vertical="center"/>
    </xf>
    <xf numFmtId="0" fontId="27" fillId="11" borderId="146" xfId="0" applyFont="1" applyFill="1" applyBorder="1" applyAlignment="1" applyProtection="1">
      <alignment horizontal="center" vertical="center"/>
    </xf>
    <xf numFmtId="0" fontId="27" fillId="11" borderId="147" xfId="0" applyFont="1" applyFill="1" applyBorder="1" applyAlignment="1" applyProtection="1">
      <alignment horizontal="center" vertical="center"/>
    </xf>
    <xf numFmtId="176" fontId="27" fillId="11" borderId="127" xfId="0" applyNumberFormat="1" applyFont="1" applyFill="1" applyBorder="1" applyAlignment="1" applyProtection="1">
      <alignment horizontal="center" vertical="center"/>
    </xf>
    <xf numFmtId="1" fontId="27" fillId="12" borderId="136" xfId="0" applyNumberFormat="1" applyFont="1" applyFill="1" applyBorder="1" applyAlignment="1" applyProtection="1">
      <alignment horizontal="center" vertical="center" wrapText="1"/>
    </xf>
    <xf numFmtId="0" fontId="27" fillId="12" borderId="0" xfId="34" applyFont="1" applyFill="1" applyBorder="1" applyAlignment="1" applyProtection="1">
      <alignment vertical="center"/>
    </xf>
    <xf numFmtId="9" fontId="11" fillId="0" borderId="1" xfId="151" applyNumberFormat="1" applyFont="1" applyFill="1" applyBorder="1" applyAlignment="1">
      <alignment vertical="center"/>
    </xf>
    <xf numFmtId="1" fontId="27" fillId="12" borderId="41" xfId="0" applyNumberFormat="1" applyFont="1" applyFill="1" applyBorder="1" applyAlignment="1" applyProtection="1">
      <alignment horizontal="center" vertical="center" wrapText="1"/>
    </xf>
    <xf numFmtId="176" fontId="19" fillId="6" borderId="128" xfId="0" applyNumberFormat="1" applyFont="1" applyFill="1" applyBorder="1" applyAlignment="1" applyProtection="1">
      <alignment vertical="center" wrapText="1"/>
      <protection locked="0"/>
    </xf>
    <xf numFmtId="176" fontId="19" fillId="6" borderId="13" xfId="0" applyNumberFormat="1" applyFont="1" applyFill="1" applyBorder="1" applyAlignment="1" applyProtection="1">
      <alignment vertical="center" wrapText="1"/>
      <protection locked="0"/>
    </xf>
    <xf numFmtId="176" fontId="19" fillId="6" borderId="90" xfId="0" applyNumberFormat="1" applyFont="1" applyFill="1" applyBorder="1" applyAlignment="1" applyProtection="1">
      <alignment vertical="center" wrapText="1"/>
      <protection locked="0"/>
    </xf>
    <xf numFmtId="176" fontId="66" fillId="12" borderId="102" xfId="0" applyNumberFormat="1" applyFont="1" applyFill="1" applyBorder="1" applyAlignment="1" applyProtection="1">
      <alignment horizontal="center" vertical="center"/>
    </xf>
    <xf numFmtId="176" fontId="66" fillId="12" borderId="104" xfId="0" applyNumberFormat="1" applyFont="1" applyFill="1" applyBorder="1" applyAlignment="1" applyProtection="1">
      <alignment horizontal="center" vertical="center"/>
    </xf>
    <xf numFmtId="0" fontId="11" fillId="6" borderId="108" xfId="34" applyFont="1" applyFill="1" applyBorder="1" applyAlignment="1" applyProtection="1">
      <alignment horizontal="justify" vertical="center" wrapText="1"/>
    </xf>
    <xf numFmtId="0" fontId="11" fillId="6" borderId="101" xfId="34" applyFont="1" applyFill="1" applyBorder="1" applyAlignment="1" applyProtection="1">
      <alignment horizontal="justify" vertical="center" wrapText="1"/>
    </xf>
    <xf numFmtId="0" fontId="11" fillId="6" borderId="101" xfId="34" applyFont="1" applyFill="1" applyBorder="1" applyAlignment="1" applyProtection="1">
      <alignment horizontal="left" vertical="center" wrapText="1"/>
    </xf>
    <xf numFmtId="0" fontId="11" fillId="6" borderId="101" xfId="0" applyFont="1" applyFill="1" applyBorder="1" applyAlignment="1" applyProtection="1">
      <alignment horizontal="justify" vertical="center" wrapText="1"/>
    </xf>
    <xf numFmtId="0" fontId="11" fillId="6" borderId="138" xfId="0" applyFont="1" applyFill="1" applyBorder="1" applyAlignment="1" applyProtection="1">
      <alignment horizontal="justify" vertical="center" wrapText="1"/>
    </xf>
    <xf numFmtId="0" fontId="66" fillId="12" borderId="40" xfId="0" applyFont="1" applyFill="1" applyBorder="1" applyAlignment="1" applyProtection="1">
      <alignment horizontal="justify" vertical="center" wrapText="1"/>
      <protection locked="0"/>
    </xf>
    <xf numFmtId="0" fontId="11" fillId="0" borderId="108" xfId="0" applyFont="1" applyFill="1" applyBorder="1" applyAlignment="1">
      <alignment horizontal="justify" vertical="center" wrapText="1"/>
    </xf>
    <xf numFmtId="0" fontId="11" fillId="0" borderId="101" xfId="212" applyFont="1" applyFill="1" applyBorder="1" applyAlignment="1" applyProtection="1">
      <alignment horizontal="left" vertical="center" wrapText="1"/>
      <protection locked="0"/>
    </xf>
    <xf numFmtId="0" fontId="11" fillId="0" borderId="101" xfId="0" applyFont="1" applyBorder="1" applyAlignment="1">
      <alignment horizontal="justify" vertical="center" wrapText="1"/>
    </xf>
    <xf numFmtId="0" fontId="11" fillId="13" borderId="101" xfId="0" applyFont="1" applyFill="1" applyBorder="1" applyAlignment="1">
      <alignment horizontal="justify" vertical="center" wrapText="1"/>
    </xf>
    <xf numFmtId="0" fontId="11" fillId="0" borderId="101" xfId="0" applyFont="1" applyFill="1" applyBorder="1" applyAlignment="1" applyProtection="1">
      <alignment horizontal="justify" vertical="center" wrapText="1"/>
    </xf>
    <xf numFmtId="0" fontId="11" fillId="0" borderId="106" xfId="212" applyFont="1" applyFill="1" applyBorder="1" applyAlignment="1" applyProtection="1">
      <alignment horizontal="left" vertical="center" wrapText="1"/>
      <protection locked="0"/>
    </xf>
    <xf numFmtId="0" fontId="27" fillId="11" borderId="116" xfId="0" quotePrefix="1" applyFont="1" applyFill="1" applyBorder="1" applyAlignment="1" applyProtection="1">
      <alignment horizontal="left" vertical="center"/>
    </xf>
    <xf numFmtId="176" fontId="19" fillId="0" borderId="119" xfId="0" applyNumberFormat="1" applyFont="1" applyFill="1" applyBorder="1" applyAlignment="1" applyProtection="1">
      <alignment vertical="center" wrapText="1"/>
    </xf>
    <xf numFmtId="176" fontId="19" fillId="0" borderId="33" xfId="0" applyNumberFormat="1" applyFont="1" applyFill="1" applyBorder="1" applyAlignment="1" applyProtection="1">
      <alignment vertical="center" wrapText="1"/>
    </xf>
    <xf numFmtId="176" fontId="19" fillId="0" borderId="66" xfId="0" applyNumberFormat="1" applyFont="1" applyFill="1" applyBorder="1" applyAlignment="1" applyProtection="1">
      <alignment vertical="center" wrapText="1"/>
    </xf>
    <xf numFmtId="0" fontId="28" fillId="0" borderId="135" xfId="0" quotePrefix="1" applyFont="1" applyFill="1" applyBorder="1" applyAlignment="1" applyProtection="1">
      <alignment horizontal="right" vertical="center"/>
    </xf>
    <xf numFmtId="0" fontId="28" fillId="0" borderId="80" xfId="0" quotePrefix="1" applyFont="1" applyFill="1" applyBorder="1" applyAlignment="1" applyProtection="1">
      <alignment horizontal="right" vertical="center"/>
    </xf>
    <xf numFmtId="0" fontId="28" fillId="0" borderId="81" xfId="0" quotePrefix="1" applyFont="1" applyFill="1" applyBorder="1" applyAlignment="1" applyProtection="1">
      <alignment horizontal="right" vertical="center"/>
    </xf>
    <xf numFmtId="0" fontId="66" fillId="12" borderId="42" xfId="0" applyFont="1" applyFill="1" applyBorder="1" applyAlignment="1">
      <alignment horizontal="right" vertical="center" wrapText="1"/>
    </xf>
    <xf numFmtId="0" fontId="28" fillId="0" borderId="79" xfId="0" quotePrefix="1" applyFont="1" applyFill="1" applyBorder="1" applyAlignment="1" applyProtection="1">
      <alignment horizontal="right" vertical="center"/>
    </xf>
    <xf numFmtId="1" fontId="27" fillId="12" borderId="103" xfId="0" applyNumberFormat="1" applyFont="1" applyFill="1" applyBorder="1" applyAlignment="1" applyProtection="1">
      <alignment horizontal="center" vertical="center"/>
    </xf>
    <xf numFmtId="1" fontId="27" fillId="12" borderId="127" xfId="0" applyNumberFormat="1" applyFont="1" applyFill="1" applyBorder="1" applyAlignment="1" applyProtection="1">
      <alignment horizontal="center" vertical="center"/>
    </xf>
    <xf numFmtId="1" fontId="27" fillId="12" borderId="122" xfId="0" applyNumberFormat="1" applyFont="1" applyFill="1" applyBorder="1" applyAlignment="1" applyProtection="1">
      <alignment horizontal="center" vertical="center"/>
    </xf>
    <xf numFmtId="0" fontId="31" fillId="12" borderId="42" xfId="0" applyFont="1" applyFill="1" applyBorder="1" applyAlignment="1" applyProtection="1">
      <alignment horizontal="center" vertical="center" wrapText="1"/>
    </xf>
    <xf numFmtId="0" fontId="66" fillId="12" borderId="40" xfId="34" applyFont="1" applyFill="1" applyBorder="1" applyAlignment="1">
      <alignment horizontal="justify" vertical="center" wrapText="1"/>
    </xf>
    <xf numFmtId="0" fontId="27" fillId="12" borderId="42" xfId="0" applyFont="1" applyFill="1" applyBorder="1" applyAlignment="1" applyProtection="1">
      <alignment horizontal="justify" vertical="center" wrapText="1"/>
    </xf>
    <xf numFmtId="0" fontId="11" fillId="0" borderId="25" xfId="0" applyFont="1" applyFill="1" applyBorder="1" applyAlignment="1" applyProtection="1">
      <alignment horizontal="justify" vertical="center" wrapText="1"/>
    </xf>
    <xf numFmtId="0" fontId="11" fillId="0" borderId="25" xfId="212" applyFont="1" applyFill="1" applyBorder="1" applyAlignment="1" applyProtection="1">
      <alignment horizontal="left" vertical="center" wrapText="1"/>
      <protection locked="0"/>
    </xf>
    <xf numFmtId="0" fontId="27" fillId="12" borderId="42" xfId="0" applyFont="1" applyFill="1" applyBorder="1" applyAlignment="1" applyProtection="1">
      <alignment horizontal="center" vertical="center" wrapText="1"/>
    </xf>
    <xf numFmtId="0" fontId="19" fillId="0" borderId="87" xfId="0" applyFont="1" applyBorder="1" applyAlignment="1" applyProtection="1">
      <alignment horizontal="right" vertical="center" wrapText="1"/>
      <protection locked="0"/>
    </xf>
    <xf numFmtId="0" fontId="66" fillId="12" borderId="137" xfId="0" applyFont="1" applyFill="1" applyBorder="1" applyAlignment="1" applyProtection="1">
      <alignment horizontal="right" vertical="center"/>
    </xf>
    <xf numFmtId="0" fontId="66" fillId="12" borderId="102" xfId="0" applyFont="1" applyFill="1" applyBorder="1" applyAlignment="1" applyProtection="1">
      <alignment horizontal="right" vertical="center"/>
    </xf>
    <xf numFmtId="0" fontId="11" fillId="0" borderId="36" xfId="0" applyFont="1" applyFill="1" applyBorder="1" applyAlignment="1" applyProtection="1">
      <alignment horizontal="right" vertical="center" wrapText="1"/>
      <protection locked="0"/>
    </xf>
    <xf numFmtId="0" fontId="11" fillId="0" borderId="87" xfId="0" applyFont="1" applyFill="1" applyBorder="1" applyAlignment="1" applyProtection="1">
      <alignment horizontal="right" vertical="center" wrapText="1"/>
      <protection locked="0"/>
    </xf>
    <xf numFmtId="0" fontId="11" fillId="0" borderId="79" xfId="0" applyFont="1" applyFill="1" applyBorder="1" applyAlignment="1" applyProtection="1">
      <alignment horizontal="right" vertical="center" wrapText="1"/>
      <protection locked="0"/>
    </xf>
    <xf numFmtId="0" fontId="11" fillId="0" borderId="80" xfId="0" applyFont="1" applyFill="1" applyBorder="1" applyAlignment="1" applyProtection="1">
      <alignment horizontal="right" vertical="center" wrapText="1"/>
      <protection locked="0"/>
    </xf>
    <xf numFmtId="0" fontId="11" fillId="0" borderId="81" xfId="0" applyFont="1" applyFill="1" applyBorder="1" applyAlignment="1" applyProtection="1">
      <alignment horizontal="right" vertical="center" wrapText="1"/>
      <protection locked="0"/>
    </xf>
    <xf numFmtId="0" fontId="34" fillId="12" borderId="0" xfId="0" applyFont="1" applyFill="1" applyBorder="1" applyAlignment="1" applyProtection="1">
      <alignment horizontal="left" vertical="center" wrapText="1"/>
    </xf>
    <xf numFmtId="0" fontId="34" fillId="0" borderId="0" xfId="0" applyFont="1" applyBorder="1" applyAlignment="1" applyProtection="1">
      <alignment horizontal="justify" vertical="center" wrapText="1"/>
    </xf>
    <xf numFmtId="0" fontId="34" fillId="0" borderId="0" xfId="0" applyFont="1" applyBorder="1" applyAlignment="1" applyProtection="1">
      <alignment horizontal="left" vertical="center" wrapText="1"/>
    </xf>
    <xf numFmtId="0" fontId="31" fillId="0" borderId="0" xfId="0" applyFont="1" applyBorder="1" applyAlignment="1" applyProtection="1">
      <alignment horizontal="justify" vertical="center" wrapText="1"/>
    </xf>
    <xf numFmtId="0" fontId="38" fillId="0" borderId="0" xfId="0" applyFont="1" applyBorder="1" applyAlignment="1" applyProtection="1">
      <alignment horizontal="center" vertical="center" textRotation="90" wrapText="1"/>
    </xf>
    <xf numFmtId="0" fontId="31" fillId="0" borderId="0" xfId="0" applyFont="1" applyBorder="1" applyAlignment="1" applyProtection="1">
      <alignment vertical="center"/>
    </xf>
    <xf numFmtId="0" fontId="11" fillId="0" borderId="148" xfId="0" applyFont="1" applyFill="1" applyBorder="1" applyAlignment="1" applyProtection="1">
      <alignment horizontal="right" vertical="center" wrapText="1"/>
      <protection locked="0"/>
    </xf>
    <xf numFmtId="0" fontId="64" fillId="12" borderId="134" xfId="0" applyFont="1" applyFill="1" applyBorder="1" applyAlignment="1">
      <alignment horizontal="right" vertical="center" wrapText="1"/>
    </xf>
    <xf numFmtId="0" fontId="19" fillId="12" borderId="82" xfId="0" applyFont="1" applyFill="1" applyBorder="1" applyAlignment="1">
      <alignment horizontal="right" vertical="center" wrapText="1"/>
    </xf>
    <xf numFmtId="0" fontId="66" fillId="12" borderId="43" xfId="0" applyFont="1" applyFill="1" applyBorder="1" applyAlignment="1" applyProtection="1">
      <alignment horizontal="right" vertical="center" wrapText="1"/>
      <protection locked="0"/>
    </xf>
    <xf numFmtId="0" fontId="66" fillId="12" borderId="94" xfId="0" applyFont="1" applyFill="1" applyBorder="1" applyAlignment="1" applyProtection="1">
      <alignment horizontal="right" vertical="center" wrapText="1"/>
      <protection locked="0"/>
    </xf>
    <xf numFmtId="0" fontId="27" fillId="12" borderId="91" xfId="0" applyFont="1" applyFill="1" applyBorder="1" applyAlignment="1">
      <alignment horizontal="center" vertical="center" wrapText="1"/>
    </xf>
    <xf numFmtId="0" fontId="27" fillId="12" borderId="110" xfId="0" applyFont="1" applyFill="1" applyBorder="1" applyAlignment="1">
      <alignment horizontal="center" vertical="center"/>
    </xf>
    <xf numFmtId="1" fontId="39" fillId="11" borderId="127" xfId="0" applyNumberFormat="1" applyFont="1" applyFill="1" applyBorder="1" applyAlignment="1" applyProtection="1">
      <alignment horizontal="center" vertical="center"/>
    </xf>
    <xf numFmtId="1" fontId="27" fillId="11" borderId="104" xfId="0" applyNumberFormat="1" applyFont="1" applyFill="1" applyBorder="1" applyAlignment="1" applyProtection="1">
      <alignment horizontal="center" vertical="center"/>
    </xf>
    <xf numFmtId="0" fontId="64" fillId="12" borderId="42" xfId="0" applyFont="1" applyFill="1" applyBorder="1" applyAlignment="1" applyProtection="1">
      <alignment horizontal="center" vertical="center" wrapText="1"/>
      <protection locked="0"/>
    </xf>
    <xf numFmtId="0" fontId="36" fillId="0" borderId="0" xfId="151" applyFont="1" applyAlignment="1">
      <alignment horizontal="center" vertical="center"/>
    </xf>
    <xf numFmtId="9" fontId="11" fillId="0" borderId="33" xfId="151" applyNumberFormat="1" applyFont="1" applyFill="1" applyBorder="1" applyAlignment="1">
      <alignment horizontal="center" vertical="center"/>
    </xf>
    <xf numFmtId="4" fontId="16" fillId="0" borderId="33" xfId="151" applyNumberFormat="1" applyFont="1" applyFill="1" applyBorder="1" applyAlignment="1">
      <alignment horizontal="center" vertical="center" wrapText="1"/>
    </xf>
    <xf numFmtId="0" fontId="27" fillId="12" borderId="1" xfId="151" applyFont="1" applyFill="1" applyBorder="1" applyAlignment="1">
      <alignment horizontal="center" vertical="center" wrapText="1"/>
    </xf>
    <xf numFmtId="0" fontId="27" fillId="12" borderId="11" xfId="151" applyFont="1" applyFill="1" applyBorder="1" applyAlignment="1">
      <alignment horizontal="center" vertical="center" wrapText="1"/>
    </xf>
    <xf numFmtId="166" fontId="11" fillId="0" borderId="0" xfId="151" applyNumberFormat="1" applyFill="1" applyBorder="1" applyAlignment="1">
      <alignment vertical="center"/>
    </xf>
    <xf numFmtId="0" fontId="11" fillId="0" borderId="0" xfId="151" applyFill="1" applyBorder="1" applyAlignment="1">
      <alignment vertical="center"/>
    </xf>
    <xf numFmtId="0" fontId="11" fillId="0" borderId="55" xfId="151" applyFont="1" applyFill="1" applyBorder="1" applyAlignment="1">
      <alignment vertical="center"/>
    </xf>
    <xf numFmtId="0" fontId="11" fillId="0" borderId="1" xfId="2286" applyFont="1" applyFill="1" applyBorder="1" applyAlignment="1" applyProtection="1">
      <alignment horizontal="center" vertical="center" wrapText="1"/>
      <protection locked="0"/>
    </xf>
    <xf numFmtId="177" fontId="11" fillId="0" borderId="1" xfId="151" applyNumberFormat="1" applyFont="1" applyFill="1" applyBorder="1" applyAlignment="1">
      <alignment vertical="center"/>
    </xf>
    <xf numFmtId="10" fontId="19" fillId="0" borderId="1" xfId="2287" applyNumberFormat="1" applyFont="1" applyFill="1" applyBorder="1" applyAlignment="1">
      <alignment horizontal="center" vertical="center"/>
    </xf>
    <xf numFmtId="0" fontId="19" fillId="0" borderId="1" xfId="34" applyFont="1" applyFill="1" applyBorder="1" applyAlignment="1">
      <alignment horizontal="right" vertical="center" wrapText="1"/>
    </xf>
    <xf numFmtId="166" fontId="19" fillId="0" borderId="1" xfId="2218" applyFont="1" applyFill="1" applyBorder="1" applyAlignment="1">
      <alignment horizontal="right" vertical="center" wrapText="1"/>
    </xf>
    <xf numFmtId="4" fontId="19" fillId="9" borderId="1" xfId="2288" applyNumberFormat="1" applyFont="1" applyFill="1" applyBorder="1" applyAlignment="1">
      <alignment horizontal="right" vertical="center"/>
    </xf>
    <xf numFmtId="171" fontId="19" fillId="9" borderId="1" xfId="2288" applyNumberFormat="1" applyFont="1" applyFill="1" applyBorder="1" applyAlignment="1">
      <alignment horizontal="right" vertical="center"/>
    </xf>
    <xf numFmtId="10" fontId="11" fillId="0" borderId="1" xfId="2289" applyNumberFormat="1" applyFont="1" applyFill="1" applyBorder="1" applyAlignment="1">
      <alignment vertical="center" wrapText="1"/>
    </xf>
    <xf numFmtId="0" fontId="19" fillId="0" borderId="1" xfId="151" applyFont="1" applyFill="1" applyBorder="1" applyAlignment="1">
      <alignment horizontal="center" vertical="center" wrapText="1"/>
    </xf>
    <xf numFmtId="0" fontId="11" fillId="10" borderId="0" xfId="151" applyFill="1" applyBorder="1" applyAlignment="1">
      <alignment vertical="center"/>
    </xf>
    <xf numFmtId="4" fontId="11" fillId="0" borderId="1" xfId="151" applyNumberFormat="1" applyFont="1" applyFill="1" applyBorder="1" applyAlignment="1">
      <alignment horizontal="right" vertical="center"/>
    </xf>
    <xf numFmtId="0" fontId="19" fillId="0" borderId="1" xfId="34" applyFont="1" applyBorder="1" applyAlignment="1">
      <alignment horizontal="right" vertical="center" wrapText="1"/>
    </xf>
    <xf numFmtId="10" fontId="11" fillId="0" borderId="1" xfId="2289" applyNumberFormat="1" applyFont="1" applyFill="1" applyBorder="1" applyAlignment="1">
      <alignment vertical="center"/>
    </xf>
    <xf numFmtId="0" fontId="11" fillId="0" borderId="1" xfId="34" applyFont="1" applyFill="1" applyBorder="1" applyAlignment="1">
      <alignment horizontal="center" vertical="center" wrapText="1"/>
    </xf>
    <xf numFmtId="171" fontId="19" fillId="0" borderId="1" xfId="2289" applyNumberFormat="1" applyFont="1" applyFill="1" applyBorder="1" applyAlignment="1">
      <alignment horizontal="right" vertical="center"/>
    </xf>
    <xf numFmtId="4" fontId="11" fillId="0" borderId="1" xfId="33" applyNumberFormat="1" applyFont="1" applyFill="1" applyBorder="1" applyAlignment="1">
      <alignment horizontal="right" vertical="center"/>
    </xf>
    <xf numFmtId="4" fontId="11" fillId="0" borderId="1" xfId="34" applyNumberFormat="1" applyFont="1" applyFill="1" applyBorder="1" applyAlignment="1">
      <alignment horizontal="right" vertical="center"/>
    </xf>
    <xf numFmtId="0" fontId="19" fillId="0" borderId="1" xfId="2218" applyNumberFormat="1" applyFont="1" applyFill="1" applyBorder="1" applyAlignment="1">
      <alignment horizontal="center" vertical="center"/>
    </xf>
    <xf numFmtId="0" fontId="19" fillId="0" borderId="56" xfId="151" applyFont="1" applyFill="1" applyBorder="1" applyAlignment="1">
      <alignment horizontal="center" vertical="center" wrapText="1"/>
    </xf>
    <xf numFmtId="0" fontId="11" fillId="6" borderId="105" xfId="151" applyFont="1" applyFill="1" applyBorder="1" applyAlignment="1">
      <alignment vertical="center"/>
    </xf>
    <xf numFmtId="0" fontId="11" fillId="0" borderId="33" xfId="2286" applyFont="1" applyFill="1" applyBorder="1" applyAlignment="1" applyProtection="1">
      <alignment horizontal="center" vertical="center" wrapText="1"/>
      <protection locked="0"/>
    </xf>
    <xf numFmtId="9" fontId="11" fillId="0" borderId="33" xfId="151" applyNumberFormat="1" applyFont="1" applyFill="1" applyBorder="1" applyAlignment="1">
      <alignment vertical="center"/>
    </xf>
    <xf numFmtId="4" fontId="11" fillId="0" borderId="33" xfId="33" applyNumberFormat="1" applyFont="1" applyFill="1" applyBorder="1" applyAlignment="1">
      <alignment vertical="center"/>
    </xf>
    <xf numFmtId="4" fontId="73" fillId="0" borderId="33" xfId="151" applyNumberFormat="1" applyFont="1" applyFill="1" applyBorder="1" applyAlignment="1">
      <alignment horizontal="center" vertical="center" wrapText="1"/>
    </xf>
    <xf numFmtId="0" fontId="11" fillId="0" borderId="33" xfId="151" applyFont="1" applyBorder="1" applyAlignment="1">
      <alignment horizontal="center" vertical="center" wrapText="1"/>
    </xf>
    <xf numFmtId="0" fontId="19" fillId="0" borderId="33" xfId="34" applyFont="1" applyBorder="1" applyAlignment="1">
      <alignment horizontal="center" vertical="center" wrapText="1"/>
    </xf>
    <xf numFmtId="10" fontId="19" fillId="0" borderId="33" xfId="2287" applyNumberFormat="1" applyFont="1" applyFill="1" applyBorder="1" applyAlignment="1">
      <alignment horizontal="center" vertical="center"/>
    </xf>
    <xf numFmtId="0" fontId="19" fillId="0" borderId="33" xfId="34" applyFont="1" applyBorder="1" applyAlignment="1">
      <alignment horizontal="right" vertical="center" wrapText="1"/>
    </xf>
    <xf numFmtId="4" fontId="19" fillId="9" borderId="33" xfId="33" applyNumberFormat="1" applyFont="1" applyFill="1" applyBorder="1" applyAlignment="1">
      <alignment horizontal="right" vertical="center"/>
    </xf>
    <xf numFmtId="171" fontId="19" fillId="9" borderId="33" xfId="2288" applyNumberFormat="1" applyFont="1" applyFill="1" applyBorder="1" applyAlignment="1">
      <alignment horizontal="right" vertical="center"/>
    </xf>
    <xf numFmtId="4" fontId="19" fillId="9" borderId="33" xfId="151" applyNumberFormat="1" applyFont="1" applyFill="1" applyBorder="1" applyAlignment="1">
      <alignment horizontal="right" vertical="center"/>
    </xf>
    <xf numFmtId="10" fontId="11" fillId="0" borderId="33" xfId="2289" applyNumberFormat="1" applyFont="1" applyFill="1" applyBorder="1" applyAlignment="1">
      <alignment vertical="center" wrapText="1"/>
    </xf>
    <xf numFmtId="0" fontId="19" fillId="6" borderId="33" xfId="151" applyFont="1" applyFill="1" applyBorder="1" applyAlignment="1">
      <alignment horizontal="center" vertical="center" wrapText="1"/>
    </xf>
    <xf numFmtId="0" fontId="19" fillId="6" borderId="109" xfId="151" applyFont="1" applyFill="1" applyBorder="1" applyAlignment="1">
      <alignment horizontal="center" vertical="center"/>
    </xf>
    <xf numFmtId="2" fontId="28" fillId="10" borderId="0" xfId="0" applyNumberFormat="1" applyFont="1" applyFill="1" applyBorder="1" applyAlignment="1" applyProtection="1">
      <alignment horizontal="left" vertical="center" wrapText="1"/>
    </xf>
    <xf numFmtId="0" fontId="84" fillId="0" borderId="83" xfId="2264" applyFont="1" applyBorder="1" applyAlignment="1" applyProtection="1">
      <alignment horizontal="center" vertical="center" wrapText="1"/>
      <protection locked="0"/>
    </xf>
    <xf numFmtId="176" fontId="16" fillId="0" borderId="0" xfId="0" applyNumberFormat="1" applyFont="1" applyFill="1" applyAlignment="1" applyProtection="1">
      <alignment vertical="center"/>
      <protection locked="0"/>
    </xf>
    <xf numFmtId="16" fontId="16" fillId="12" borderId="122" xfId="34" applyNumberFormat="1" applyFont="1" applyFill="1" applyBorder="1" applyAlignment="1" applyProtection="1">
      <alignment horizontal="center" vertical="center"/>
      <protection locked="0"/>
    </xf>
    <xf numFmtId="16" fontId="16" fillId="0" borderId="55" xfId="34" applyNumberFormat="1" applyFont="1" applyFill="1" applyBorder="1" applyAlignment="1" applyProtection="1">
      <alignment horizontal="center" vertical="center" wrapText="1"/>
      <protection locked="0"/>
    </xf>
    <xf numFmtId="16" fontId="16" fillId="0" borderId="56" xfId="34" applyNumberFormat="1" applyFont="1" applyFill="1" applyBorder="1" applyAlignment="1" applyProtection="1">
      <alignment horizontal="center" vertical="center" wrapText="1"/>
      <protection locked="0"/>
    </xf>
    <xf numFmtId="16" fontId="16" fillId="0" borderId="55" xfId="34" applyNumberFormat="1" applyFont="1" applyBorder="1" applyAlignment="1" applyProtection="1">
      <alignment horizontal="center" vertical="center" wrapText="1"/>
      <protection locked="0"/>
    </xf>
    <xf numFmtId="16" fontId="16" fillId="0" borderId="56" xfId="34" applyNumberFormat="1" applyFont="1" applyBorder="1" applyAlignment="1" applyProtection="1">
      <alignment horizontal="center" vertical="center" wrapText="1"/>
      <protection locked="0"/>
    </xf>
    <xf numFmtId="16" fontId="16" fillId="0" borderId="55" xfId="34" applyNumberFormat="1" applyFont="1" applyBorder="1" applyAlignment="1" applyProtection="1">
      <alignment horizontal="center" vertical="center"/>
      <protection locked="0"/>
    </xf>
    <xf numFmtId="16" fontId="16" fillId="0" borderId="56" xfId="34" applyNumberFormat="1" applyFont="1" applyBorder="1" applyAlignment="1" applyProtection="1">
      <alignment horizontal="center" vertical="center"/>
      <protection locked="0"/>
    </xf>
    <xf numFmtId="16" fontId="16" fillId="0" borderId="55" xfId="173" applyNumberFormat="1" applyFont="1" applyFill="1" applyBorder="1" applyAlignment="1" applyProtection="1">
      <alignment horizontal="center" vertical="center" wrapText="1"/>
      <protection locked="0"/>
    </xf>
    <xf numFmtId="16" fontId="16" fillId="0" borderId="56" xfId="2261" applyNumberFormat="1" applyFont="1" applyFill="1" applyBorder="1" applyAlignment="1" applyProtection="1">
      <alignment horizontal="center" vertical="center" wrapText="1"/>
      <protection locked="0"/>
    </xf>
    <xf numFmtId="16" fontId="16" fillId="0" borderId="55" xfId="0" applyNumberFormat="1" applyFont="1" applyBorder="1" applyAlignment="1">
      <alignment horizontal="center" vertical="center"/>
    </xf>
    <xf numFmtId="16" fontId="16" fillId="0" borderId="56" xfId="0" applyNumberFormat="1" applyFont="1" applyBorder="1" applyAlignment="1">
      <alignment horizontal="center" vertical="center"/>
    </xf>
    <xf numFmtId="16" fontId="16" fillId="6" borderId="56" xfId="34" applyNumberFormat="1" applyFont="1" applyFill="1" applyBorder="1" applyAlignment="1" applyProtection="1">
      <alignment horizontal="center" vertical="center" wrapText="1"/>
      <protection locked="0"/>
    </xf>
    <xf numFmtId="16" fontId="16" fillId="6" borderId="55" xfId="0" applyNumberFormat="1" applyFont="1" applyFill="1" applyBorder="1" applyAlignment="1" applyProtection="1">
      <alignment horizontal="center" vertical="center" wrapText="1"/>
      <protection locked="0"/>
    </xf>
    <xf numFmtId="16" fontId="16" fillId="6" borderId="56" xfId="0" applyNumberFormat="1" applyFont="1" applyFill="1" applyBorder="1" applyAlignment="1" applyProtection="1">
      <alignment horizontal="center" vertical="center" wrapText="1"/>
      <protection locked="0"/>
    </xf>
    <xf numFmtId="16" fontId="16" fillId="0" borderId="55" xfId="0" applyNumberFormat="1" applyFont="1" applyFill="1" applyBorder="1" applyAlignment="1" applyProtection="1">
      <alignment horizontal="center" vertical="center" wrapText="1"/>
      <protection locked="0"/>
    </xf>
    <xf numFmtId="16" fontId="16" fillId="0" borderId="56" xfId="0" applyNumberFormat="1" applyFont="1" applyFill="1" applyBorder="1" applyAlignment="1" applyProtection="1">
      <alignment horizontal="center" vertical="center" wrapText="1"/>
      <protection locked="0"/>
    </xf>
    <xf numFmtId="16" fontId="16" fillId="0" borderId="56" xfId="0" applyNumberFormat="1" applyFont="1" applyFill="1" applyBorder="1" applyAlignment="1" applyProtection="1">
      <alignment horizontal="center" vertical="center"/>
      <protection locked="0"/>
    </xf>
    <xf numFmtId="16" fontId="16" fillId="6" borderId="56" xfId="0" applyNumberFormat="1" applyFont="1" applyFill="1" applyBorder="1" applyAlignment="1" applyProtection="1">
      <alignment horizontal="center" vertical="center"/>
      <protection locked="0"/>
    </xf>
    <xf numFmtId="16" fontId="16" fillId="0" borderId="55" xfId="0" applyNumberFormat="1" applyFont="1" applyFill="1" applyBorder="1" applyAlignment="1" applyProtection="1">
      <alignment horizontal="center" vertical="center"/>
      <protection locked="0"/>
    </xf>
    <xf numFmtId="16" fontId="16" fillId="0" borderId="107" xfId="0" applyNumberFormat="1" applyFont="1" applyFill="1" applyBorder="1" applyAlignment="1" applyProtection="1">
      <alignment horizontal="center" vertical="center"/>
      <protection locked="0"/>
    </xf>
    <xf numFmtId="16" fontId="16" fillId="0" borderId="129" xfId="0" applyNumberFormat="1" applyFont="1" applyFill="1" applyBorder="1" applyAlignment="1" applyProtection="1">
      <alignment horizontal="center" vertical="center"/>
      <protection locked="0"/>
    </xf>
    <xf numFmtId="16" fontId="16" fillId="0" borderId="105" xfId="34" applyNumberFormat="1" applyFont="1" applyFill="1" applyBorder="1" applyAlignment="1" applyProtection="1">
      <alignment horizontal="center" vertical="center"/>
      <protection locked="0"/>
    </xf>
    <xf numFmtId="16" fontId="16" fillId="0" borderId="109" xfId="34" applyNumberFormat="1" applyFont="1" applyFill="1" applyBorder="1" applyAlignment="1" applyProtection="1">
      <alignment horizontal="center" vertical="center"/>
      <protection locked="0"/>
    </xf>
    <xf numFmtId="16" fontId="16" fillId="0" borderId="105" xfId="0" applyNumberFormat="1" applyFont="1" applyFill="1" applyBorder="1" applyAlignment="1" applyProtection="1">
      <alignment horizontal="center" vertical="center"/>
      <protection locked="0"/>
    </xf>
    <xf numFmtId="16" fontId="16" fillId="0" borderId="109" xfId="0" applyNumberFormat="1" applyFont="1" applyFill="1" applyBorder="1" applyAlignment="1" applyProtection="1">
      <alignment horizontal="center" vertical="center"/>
      <protection locked="0"/>
    </xf>
    <xf numFmtId="16" fontId="16" fillId="12" borderId="104" xfId="0" applyNumberFormat="1" applyFont="1" applyFill="1" applyBorder="1" applyAlignment="1" applyProtection="1">
      <alignment horizontal="center" vertical="center"/>
      <protection locked="0"/>
    </xf>
    <xf numFmtId="16" fontId="12" fillId="12" borderId="102" xfId="0" applyNumberFormat="1" applyFont="1" applyFill="1" applyBorder="1" applyAlignment="1" applyProtection="1">
      <alignment horizontal="center" vertical="center"/>
      <protection locked="0"/>
    </xf>
    <xf numFmtId="16" fontId="12" fillId="12" borderId="104" xfId="0" applyNumberFormat="1" applyFont="1" applyFill="1" applyBorder="1" applyAlignment="1" applyProtection="1">
      <alignment horizontal="center" vertical="center"/>
      <protection locked="0"/>
    </xf>
    <xf numFmtId="16" fontId="16" fillId="6" borderId="55" xfId="34" applyNumberFormat="1" applyFont="1" applyFill="1" applyBorder="1" applyAlignment="1" applyProtection="1">
      <alignment horizontal="center" vertical="center" wrapText="1"/>
      <protection locked="0"/>
    </xf>
    <xf numFmtId="0" fontId="19" fillId="12" borderId="43" xfId="212" applyFont="1" applyFill="1" applyBorder="1" applyAlignment="1" applyProtection="1">
      <alignment horizontal="center" vertical="center" wrapText="1"/>
      <protection locked="0"/>
    </xf>
    <xf numFmtId="0" fontId="19" fillId="0" borderId="139" xfId="212" applyFont="1" applyFill="1" applyBorder="1" applyAlignment="1" applyProtection="1">
      <alignment horizontal="center" vertical="center" wrapText="1"/>
      <protection locked="0"/>
    </xf>
    <xf numFmtId="0" fontId="19" fillId="0" borderId="83" xfId="212" applyFont="1" applyFill="1" applyBorder="1" applyAlignment="1" applyProtection="1">
      <alignment horizontal="center" vertical="center" wrapText="1"/>
      <protection locked="0"/>
    </xf>
    <xf numFmtId="0" fontId="19" fillId="0" borderId="84" xfId="212" applyFont="1" applyFill="1" applyBorder="1" applyAlignment="1" applyProtection="1">
      <alignment horizontal="center" vertical="center" wrapText="1"/>
      <protection locked="0"/>
    </xf>
    <xf numFmtId="0" fontId="19" fillId="6" borderId="139" xfId="34" applyFont="1" applyFill="1" applyBorder="1" applyAlignment="1" applyProtection="1">
      <alignment horizontal="center" vertical="center"/>
      <protection locked="0"/>
    </xf>
    <xf numFmtId="0" fontId="19" fillId="6" borderId="83" xfId="34"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0" fontId="19" fillId="6" borderId="140" xfId="0" applyFont="1" applyFill="1" applyBorder="1" applyAlignment="1" applyProtection="1">
      <alignment horizontal="center" vertical="center"/>
      <protection locked="0"/>
    </xf>
    <xf numFmtId="0" fontId="39" fillId="12" borderId="40" xfId="0" applyFont="1" applyFill="1" applyBorder="1" applyAlignment="1" applyProtection="1">
      <alignment horizontal="center" vertical="center"/>
    </xf>
    <xf numFmtId="0" fontId="19" fillId="0" borderId="83" xfId="2264" applyFont="1" applyFill="1" applyBorder="1" applyAlignment="1" applyProtection="1">
      <alignment horizontal="center" vertical="center" wrapText="1"/>
      <protection locked="0"/>
    </xf>
    <xf numFmtId="0" fontId="19" fillId="0" borderId="83" xfId="2264" applyFont="1" applyBorder="1" applyAlignment="1" applyProtection="1">
      <alignment horizontal="center" vertical="center" wrapText="1"/>
      <protection locked="0"/>
    </xf>
    <xf numFmtId="0" fontId="84" fillId="0" borderId="83" xfId="34" applyFont="1" applyBorder="1" applyAlignment="1" applyProtection="1">
      <alignment horizontal="center" vertical="center" wrapText="1"/>
      <protection locked="0"/>
    </xf>
    <xf numFmtId="0" fontId="84" fillId="0" borderId="83" xfId="34" applyFont="1" applyFill="1" applyBorder="1" applyAlignment="1" applyProtection="1">
      <alignment horizontal="center" vertical="center" wrapText="1"/>
      <protection locked="0"/>
    </xf>
    <xf numFmtId="0" fontId="19" fillId="0" borderId="83" xfId="34" applyFont="1" applyFill="1" applyBorder="1" applyAlignment="1" applyProtection="1">
      <alignment horizontal="center" vertical="center"/>
      <protection locked="0"/>
    </xf>
    <xf numFmtId="0" fontId="19" fillId="0" borderId="83" xfId="34" applyFont="1" applyBorder="1" applyAlignment="1" applyProtection="1">
      <alignment horizontal="center" vertical="center"/>
      <protection locked="0"/>
    </xf>
    <xf numFmtId="0" fontId="19" fillId="12" borderId="43" xfId="0" applyFont="1" applyFill="1" applyBorder="1" applyAlignment="1" applyProtection="1">
      <alignment horizontal="center" vertical="center"/>
      <protection locked="0"/>
    </xf>
    <xf numFmtId="0" fontId="19" fillId="6" borderId="139" xfId="34" applyNumberFormat="1" applyFont="1" applyFill="1" applyBorder="1" applyAlignment="1" applyProtection="1">
      <alignment horizontal="center" vertical="center"/>
      <protection locked="0"/>
    </xf>
    <xf numFmtId="0" fontId="19" fillId="0" borderId="83" xfId="173" applyFont="1" applyFill="1" applyBorder="1" applyAlignment="1">
      <alignment horizontal="center" vertical="center" wrapText="1"/>
    </xf>
    <xf numFmtId="0" fontId="19" fillId="0" borderId="83" xfId="204" applyFont="1" applyFill="1" applyBorder="1" applyAlignment="1">
      <alignment horizontal="center" vertical="center" wrapText="1"/>
    </xf>
    <xf numFmtId="0" fontId="19" fillId="0" borderId="83" xfId="45" applyFont="1" applyFill="1" applyBorder="1" applyAlignment="1">
      <alignment horizontal="center" vertical="center" wrapText="1"/>
    </xf>
    <xf numFmtId="3" fontId="19" fillId="0" borderId="83" xfId="34" applyNumberFormat="1" applyFont="1" applyFill="1" applyBorder="1" applyAlignment="1" applyProtection="1">
      <alignment horizontal="center" vertical="center"/>
      <protection locked="0"/>
    </xf>
    <xf numFmtId="0" fontId="19" fillId="6" borderId="83" xfId="2264" applyFont="1" applyFill="1" applyBorder="1" applyAlignment="1" applyProtection="1">
      <alignment horizontal="center" vertical="center" wrapText="1"/>
      <protection locked="0"/>
    </xf>
    <xf numFmtId="0" fontId="19" fillId="0" borderId="83" xfId="0" applyFont="1" applyBorder="1" applyAlignment="1">
      <alignment horizontal="center" vertical="center" wrapText="1"/>
    </xf>
    <xf numFmtId="0" fontId="19" fillId="0" borderId="83" xfId="212" applyFont="1" applyBorder="1" applyAlignment="1" applyProtection="1">
      <alignment horizontal="center" vertical="center" wrapText="1"/>
      <protection locked="0"/>
    </xf>
    <xf numFmtId="0" fontId="19" fillId="0" borderId="83" xfId="34" applyNumberFormat="1" applyFont="1" applyFill="1" applyBorder="1" applyAlignment="1" applyProtection="1">
      <alignment horizontal="center" vertical="center"/>
      <protection locked="0"/>
    </xf>
    <xf numFmtId="0" fontId="19" fillId="6" borderId="83" xfId="34" applyFont="1" applyFill="1" applyBorder="1" applyAlignment="1" applyProtection="1">
      <alignment horizontal="center" vertical="center"/>
    </xf>
    <xf numFmtId="0" fontId="19" fillId="0" borderId="83" xfId="34" applyFont="1" applyFill="1" applyBorder="1" applyAlignment="1" applyProtection="1">
      <alignment horizontal="center" vertical="center"/>
    </xf>
    <xf numFmtId="0" fontId="19" fillId="0" borderId="83" xfId="34" applyFont="1" applyFill="1" applyBorder="1" applyAlignment="1">
      <alignment horizontal="center" vertical="center" wrapText="1"/>
    </xf>
    <xf numFmtId="0" fontId="19" fillId="6" borderId="83" xfId="212" applyFont="1" applyFill="1" applyBorder="1" applyAlignment="1" applyProtection="1">
      <alignment horizontal="center" vertical="center" wrapText="1"/>
      <protection locked="0"/>
    </xf>
    <xf numFmtId="0" fontId="19" fillId="6" borderId="83" xfId="0" applyFont="1" applyFill="1" applyBorder="1" applyAlignment="1" applyProtection="1">
      <alignment horizontal="center" vertical="center" wrapText="1"/>
      <protection locked="0"/>
    </xf>
    <xf numFmtId="0" fontId="19" fillId="0" borderId="83" xfId="0" applyFont="1" applyFill="1" applyBorder="1" applyAlignment="1" applyProtection="1">
      <alignment horizontal="center" vertical="center"/>
      <protection locked="0"/>
    </xf>
    <xf numFmtId="0" fontId="19" fillId="0" borderId="140" xfId="212" applyFont="1" applyFill="1" applyBorder="1" applyAlignment="1" applyProtection="1">
      <alignment horizontal="center" vertical="center" wrapText="1"/>
      <protection locked="0"/>
    </xf>
    <xf numFmtId="0" fontId="19" fillId="0" borderId="139" xfId="34" applyFont="1" applyFill="1" applyBorder="1" applyAlignment="1" applyProtection="1">
      <alignment horizontal="center" vertical="center"/>
      <protection locked="0"/>
    </xf>
    <xf numFmtId="0" fontId="19" fillId="0" borderId="140" xfId="2264" applyFont="1" applyFill="1" applyBorder="1" applyAlignment="1" applyProtection="1">
      <alignment horizontal="center" vertical="center" wrapText="1"/>
      <protection locked="0"/>
    </xf>
    <xf numFmtId="0" fontId="64" fillId="12" borderId="43" xfId="212" applyFont="1" applyFill="1" applyBorder="1" applyAlignment="1" applyProtection="1">
      <alignment horizontal="center" vertical="center" wrapText="1"/>
      <protection locked="0"/>
    </xf>
    <xf numFmtId="0" fontId="19" fillId="6" borderId="140" xfId="34" applyFont="1" applyFill="1" applyBorder="1" applyAlignment="1" applyProtection="1">
      <alignment horizontal="center" vertical="center"/>
      <protection locked="0"/>
    </xf>
    <xf numFmtId="0" fontId="19" fillId="12" borderId="42" xfId="212" applyFont="1" applyFill="1" applyBorder="1" applyAlignment="1" applyProtection="1">
      <alignment horizontal="center" vertical="center" wrapText="1"/>
      <protection locked="0"/>
    </xf>
    <xf numFmtId="0" fontId="19" fillId="6" borderId="139" xfId="0" applyFont="1" applyFill="1" applyBorder="1" applyAlignment="1" applyProtection="1">
      <alignment horizontal="center" vertical="center"/>
      <protection locked="0"/>
    </xf>
    <xf numFmtId="0" fontId="19" fillId="6" borderId="83" xfId="34" applyFont="1" applyFill="1" applyBorder="1" applyAlignment="1" applyProtection="1">
      <alignment horizontal="center" vertical="center" wrapText="1"/>
      <protection locked="0"/>
    </xf>
    <xf numFmtId="170" fontId="11" fillId="0" borderId="1" xfId="0" applyNumberFormat="1" applyFont="1" applyFill="1" applyBorder="1" applyAlignment="1">
      <alignment horizontal="justify" vertical="center" wrapText="1"/>
    </xf>
    <xf numFmtId="1"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1" fontId="29"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xf>
    <xf numFmtId="0" fontId="11" fillId="0" borderId="1" xfId="34"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0" fontId="29" fillId="0" borderId="62" xfId="0" applyFont="1" applyFill="1" applyBorder="1" applyAlignment="1">
      <alignment horizontal="right" vertical="center" wrapText="1"/>
    </xf>
    <xf numFmtId="170" fontId="11" fillId="0" borderId="63" xfId="0" applyNumberFormat="1" applyFont="1" applyFill="1" applyBorder="1" applyAlignment="1">
      <alignment horizontal="justify" vertical="center" wrapText="1"/>
    </xf>
    <xf numFmtId="1" fontId="19" fillId="0" borderId="63" xfId="0" applyNumberFormat="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1" fillId="0" borderId="63" xfId="0" applyFont="1" applyFill="1" applyBorder="1" applyAlignment="1" applyProtection="1">
      <alignment horizontal="justify" vertical="center" wrapText="1"/>
      <protection locked="0"/>
    </xf>
    <xf numFmtId="0" fontId="11" fillId="0" borderId="63" xfId="0" applyFont="1" applyFill="1" applyBorder="1" applyAlignment="1">
      <alignment horizontal="justify" vertical="center" wrapText="1"/>
    </xf>
    <xf numFmtId="1" fontId="29" fillId="0" borderId="63" xfId="0" applyNumberFormat="1" applyFont="1" applyFill="1" applyBorder="1" applyAlignment="1">
      <alignment horizontal="center" vertical="center" wrapText="1"/>
    </xf>
    <xf numFmtId="0" fontId="31" fillId="0" borderId="63" xfId="0" applyNumberFormat="1" applyFont="1" applyFill="1" applyBorder="1" applyAlignment="1">
      <alignment horizontal="center" vertical="center"/>
    </xf>
    <xf numFmtId="0" fontId="29" fillId="0" borderId="64" xfId="0" applyFont="1" applyFill="1" applyBorder="1" applyAlignment="1">
      <alignment vertical="center" wrapText="1"/>
    </xf>
    <xf numFmtId="0" fontId="29" fillId="0" borderId="55" xfId="0" applyFont="1" applyFill="1" applyBorder="1" applyAlignment="1">
      <alignment horizontal="right" vertical="center" wrapText="1"/>
    </xf>
    <xf numFmtId="0" fontId="29" fillId="0" borderId="56" xfId="0" applyFont="1" applyFill="1" applyBorder="1" applyAlignment="1">
      <alignment vertical="center" wrapText="1"/>
    </xf>
    <xf numFmtId="0" fontId="29" fillId="0" borderId="57" xfId="0" applyFont="1" applyFill="1" applyBorder="1" applyAlignment="1">
      <alignment horizontal="right" vertical="center" wrapText="1"/>
    </xf>
    <xf numFmtId="170" fontId="11" fillId="0" borderId="11" xfId="0" applyNumberFormat="1" applyFont="1" applyFill="1" applyBorder="1" applyAlignment="1">
      <alignment horizontal="justify" vertical="center" wrapText="1"/>
    </xf>
    <xf numFmtId="1" fontId="19"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1" fillId="0" borderId="11" xfId="0" applyFont="1" applyFill="1" applyBorder="1" applyAlignment="1">
      <alignment horizontal="justify" vertical="center" wrapText="1"/>
    </xf>
    <xf numFmtId="1" fontId="29" fillId="0" borderId="11" xfId="0"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xf>
    <xf numFmtId="0" fontId="29" fillId="0" borderId="59" xfId="0" applyFont="1" applyFill="1" applyBorder="1" applyAlignment="1">
      <alignment vertical="center" wrapText="1"/>
    </xf>
    <xf numFmtId="0" fontId="11" fillId="0" borderId="86" xfId="212" applyFont="1" applyFill="1" applyBorder="1" applyAlignment="1" applyProtection="1">
      <alignment horizontal="justify" vertical="center" wrapText="1"/>
      <protection locked="0"/>
    </xf>
    <xf numFmtId="0" fontId="27" fillId="12" borderId="1" xfId="151" applyFont="1" applyFill="1" applyBorder="1" applyAlignment="1">
      <alignment horizontal="center" vertical="center" wrapText="1"/>
    </xf>
    <xf numFmtId="0" fontId="27" fillId="12" borderId="11" xfId="151" applyFont="1" applyFill="1" applyBorder="1" applyAlignment="1">
      <alignment horizontal="center" vertical="center" wrapText="1"/>
    </xf>
    <xf numFmtId="10" fontId="11" fillId="0" borderId="1" xfId="2241" applyNumberFormat="1" applyFont="1" applyFill="1" applyBorder="1" applyAlignment="1">
      <alignment vertical="center" wrapText="1"/>
    </xf>
    <xf numFmtId="10" fontId="11" fillId="0" borderId="11" xfId="2241" applyNumberFormat="1" applyFont="1" applyFill="1" applyBorder="1" applyAlignment="1">
      <alignment vertical="center" wrapText="1"/>
    </xf>
    <xf numFmtId="10" fontId="11" fillId="0" borderId="33" xfId="2241" applyNumberFormat="1" applyFont="1" applyFill="1" applyBorder="1" applyAlignment="1">
      <alignment vertical="center"/>
    </xf>
    <xf numFmtId="0" fontId="17" fillId="6" borderId="80" xfId="2264" applyFont="1" applyFill="1" applyBorder="1" applyAlignment="1" applyProtection="1">
      <alignment horizontal="center" vertical="center" wrapText="1"/>
      <protection locked="0"/>
    </xf>
    <xf numFmtId="0" fontId="66" fillId="6" borderId="150" xfId="0" applyFont="1" applyFill="1" applyBorder="1" applyAlignment="1">
      <alignment horizontal="center" vertical="center" wrapText="1"/>
    </xf>
    <xf numFmtId="0" fontId="16" fillId="6" borderId="80" xfId="218" applyFont="1" applyFill="1" applyBorder="1" applyAlignment="1">
      <alignment horizontal="center" vertical="center" wrapText="1"/>
    </xf>
    <xf numFmtId="0" fontId="11" fillId="6" borderId="80" xfId="95" applyFont="1" applyFill="1" applyBorder="1" applyAlignment="1">
      <alignment horizontal="justify" vertical="center" wrapText="1"/>
    </xf>
    <xf numFmtId="0" fontId="85" fillId="6" borderId="26" xfId="2264" applyFont="1" applyFill="1" applyBorder="1" applyAlignment="1" applyProtection="1">
      <alignment horizontal="center" vertical="center" wrapText="1"/>
      <protection locked="0"/>
    </xf>
    <xf numFmtId="2" fontId="85" fillId="6" borderId="1" xfId="218" applyNumberFormat="1" applyFont="1" applyFill="1" applyBorder="1" applyAlignment="1" applyProtection="1">
      <alignment horizontal="center" vertical="center" wrapText="1"/>
      <protection locked="0"/>
    </xf>
    <xf numFmtId="176" fontId="11" fillId="6" borderId="55" xfId="218" applyNumberFormat="1" applyFont="1" applyFill="1" applyBorder="1" applyAlignment="1" applyProtection="1">
      <alignment horizontal="center" vertical="center" wrapText="1"/>
      <protection locked="0"/>
    </xf>
    <xf numFmtId="176" fontId="11" fillId="6" borderId="1" xfId="151" applyNumberFormat="1" applyFont="1" applyFill="1" applyBorder="1" applyAlignment="1" applyProtection="1">
      <alignment horizontal="center" vertical="center" wrapText="1"/>
      <protection locked="0"/>
    </xf>
    <xf numFmtId="176" fontId="11" fillId="6" borderId="56" xfId="33" applyNumberFormat="1" applyFont="1" applyFill="1" applyBorder="1" applyAlignment="1" applyProtection="1">
      <alignment horizontal="center" vertical="center" wrapText="1"/>
    </xf>
    <xf numFmtId="2" fontId="85" fillId="6" borderId="1" xfId="151" applyNumberFormat="1" applyFont="1" applyFill="1" applyBorder="1" applyAlignment="1" applyProtection="1">
      <alignment horizontal="center" vertical="center" wrapText="1"/>
      <protection locked="0"/>
    </xf>
    <xf numFmtId="176" fontId="11" fillId="6" borderId="55" xfId="151" applyNumberFormat="1" applyFont="1" applyFill="1" applyBorder="1" applyAlignment="1" applyProtection="1">
      <alignment horizontal="center" vertical="center" wrapText="1"/>
      <protection locked="0"/>
    </xf>
    <xf numFmtId="176" fontId="11" fillId="6" borderId="1" xfId="33" applyNumberFormat="1" applyFont="1" applyFill="1" applyBorder="1" applyAlignment="1" applyProtection="1">
      <alignment horizontal="center" vertical="center" wrapText="1"/>
      <protection locked="0"/>
    </xf>
    <xf numFmtId="176" fontId="11" fillId="6" borderId="56" xfId="151" applyNumberFormat="1" applyFont="1" applyFill="1" applyBorder="1" applyAlignment="1" applyProtection="1">
      <alignment horizontal="center" vertical="center" wrapText="1"/>
      <protection locked="0"/>
    </xf>
    <xf numFmtId="176" fontId="11" fillId="6" borderId="1" xfId="218" applyNumberFormat="1" applyFont="1" applyFill="1" applyBorder="1" applyAlignment="1" applyProtection="1">
      <alignment horizontal="center" vertical="center" wrapText="1"/>
      <protection locked="0"/>
    </xf>
    <xf numFmtId="176" fontId="11" fillId="6" borderId="56" xfId="151" applyNumberFormat="1" applyFont="1" applyFill="1" applyBorder="1" applyAlignment="1">
      <alignment horizontal="center" vertical="center" wrapText="1"/>
    </xf>
    <xf numFmtId="176" fontId="11" fillId="6" borderId="1" xfId="33" applyNumberFormat="1" applyFont="1" applyFill="1" applyBorder="1" applyAlignment="1" applyProtection="1">
      <alignment horizontal="center" vertical="center" wrapText="1"/>
    </xf>
    <xf numFmtId="178" fontId="11" fillId="6" borderId="1" xfId="33" applyNumberFormat="1" applyFont="1" applyFill="1" applyBorder="1" applyAlignment="1" applyProtection="1">
      <alignment horizontal="center" vertical="center" wrapText="1"/>
      <protection locked="0"/>
    </xf>
    <xf numFmtId="178" fontId="11" fillId="6" borderId="56" xfId="33" applyNumberFormat="1" applyFont="1" applyFill="1" applyBorder="1" applyAlignment="1" applyProtection="1">
      <alignment horizontal="center" vertical="center" wrapText="1"/>
    </xf>
    <xf numFmtId="16" fontId="16" fillId="6" borderId="55" xfId="151" applyNumberFormat="1" applyFont="1" applyFill="1" applyBorder="1" applyAlignment="1" applyProtection="1">
      <alignment horizontal="center" vertical="center" wrapText="1"/>
      <protection locked="0"/>
    </xf>
    <xf numFmtId="16" fontId="16" fillId="6" borderId="56" xfId="151" applyNumberFormat="1" applyFont="1" applyFill="1" applyBorder="1" applyAlignment="1" applyProtection="1">
      <alignment horizontal="center" vertical="center" wrapText="1"/>
      <protection locked="0"/>
    </xf>
    <xf numFmtId="16" fontId="16" fillId="6" borderId="24" xfId="151" applyNumberFormat="1" applyFont="1" applyFill="1" applyBorder="1" applyAlignment="1" applyProtection="1">
      <alignment horizontal="center" vertical="center" wrapText="1"/>
      <protection locked="0"/>
    </xf>
    <xf numFmtId="0" fontId="19" fillId="6" borderId="25" xfId="33" applyNumberFormat="1" applyFont="1" applyFill="1" applyBorder="1" applyAlignment="1" applyProtection="1">
      <alignment horizontal="center" vertical="center" wrapText="1"/>
      <protection locked="0"/>
    </xf>
    <xf numFmtId="176" fontId="11" fillId="6" borderId="24" xfId="151" applyNumberFormat="1" applyFont="1" applyFill="1" applyBorder="1" applyAlignment="1" applyProtection="1">
      <alignment horizontal="center" vertical="center" wrapText="1"/>
      <protection locked="0"/>
    </xf>
    <xf numFmtId="0" fontId="66" fillId="6" borderId="42" xfId="0" applyFont="1" applyFill="1" applyBorder="1" applyAlignment="1">
      <alignment horizontal="center" vertical="center" wrapText="1"/>
    </xf>
    <xf numFmtId="0" fontId="27" fillId="0" borderId="79" xfId="0" applyFont="1" applyBorder="1" applyAlignment="1" applyProtection="1">
      <alignment vertical="center" wrapText="1"/>
    </xf>
    <xf numFmtId="0" fontId="27" fillId="0" borderId="135" xfId="0" applyFont="1" applyBorder="1" applyAlignment="1" applyProtection="1">
      <alignment vertical="center" wrapText="1"/>
    </xf>
    <xf numFmtId="0" fontId="27" fillId="0" borderId="80" xfId="0" applyFont="1" applyBorder="1" applyAlignment="1" applyProtection="1">
      <alignment vertical="center"/>
    </xf>
    <xf numFmtId="0" fontId="27" fillId="0" borderId="136" xfId="0" applyFont="1" applyBorder="1" applyAlignment="1" applyProtection="1">
      <alignment vertical="center"/>
    </xf>
    <xf numFmtId="0" fontId="27" fillId="0" borderId="81" xfId="0" applyFont="1" applyBorder="1" applyAlignment="1" applyProtection="1">
      <alignment vertical="center"/>
    </xf>
    <xf numFmtId="0" fontId="19" fillId="0" borderId="62" xfId="0" applyFont="1" applyBorder="1" applyAlignment="1" applyProtection="1">
      <alignment horizontal="left" vertical="center" wrapText="1"/>
    </xf>
    <xf numFmtId="0" fontId="19" fillId="0" borderId="63" xfId="0" applyFont="1" applyBorder="1" applyAlignment="1" applyProtection="1">
      <alignment horizontal="left" vertical="center" wrapText="1"/>
    </xf>
    <xf numFmtId="0" fontId="19" fillId="0" borderId="64" xfId="0" applyFont="1" applyBorder="1" applyAlignment="1" applyProtection="1">
      <alignment horizontal="left" vertical="center" wrapText="1"/>
    </xf>
    <xf numFmtId="0" fontId="27" fillId="0" borderId="86" xfId="0" applyFont="1" applyBorder="1" applyAlignment="1" applyProtection="1">
      <alignment vertical="center" wrapText="1"/>
    </xf>
    <xf numFmtId="0" fontId="27" fillId="0" borderId="139" xfId="0" applyFont="1" applyBorder="1" applyAlignment="1" applyProtection="1">
      <alignment vertical="center" wrapText="1"/>
    </xf>
    <xf numFmtId="0" fontId="27" fillId="0" borderId="83" xfId="0" applyFont="1" applyBorder="1" applyAlignment="1" applyProtection="1">
      <alignment vertical="center"/>
    </xf>
    <xf numFmtId="0" fontId="27" fillId="0" borderId="84" xfId="0" applyFont="1" applyBorder="1" applyAlignment="1" applyProtection="1">
      <alignment vertical="center"/>
    </xf>
    <xf numFmtId="0" fontId="19" fillId="0" borderId="55" xfId="0" applyFont="1" applyBorder="1" applyAlignment="1" applyProtection="1">
      <alignment vertical="center" wrapText="1"/>
    </xf>
    <xf numFmtId="0" fontId="19" fillId="0" borderId="1" xfId="0" applyFont="1" applyBorder="1" applyAlignment="1" applyProtection="1">
      <alignment vertical="center" wrapText="1"/>
    </xf>
    <xf numFmtId="0" fontId="19" fillId="0" borderId="56" xfId="0" applyFont="1" applyBorder="1" applyAlignment="1" applyProtection="1">
      <alignment vertical="center" wrapText="1"/>
    </xf>
    <xf numFmtId="0" fontId="19" fillId="0" borderId="57" xfId="0" applyFont="1" applyBorder="1" applyAlignment="1" applyProtection="1">
      <alignment vertical="center" wrapText="1"/>
    </xf>
    <xf numFmtId="0" fontId="19" fillId="0" borderId="11" xfId="0" applyFont="1" applyBorder="1" applyAlignment="1" applyProtection="1">
      <alignment vertical="center" wrapText="1"/>
    </xf>
    <xf numFmtId="0" fontId="19" fillId="0" borderId="59" xfId="0" applyFont="1" applyBorder="1" applyAlignment="1" applyProtection="1">
      <alignment vertical="center" wrapText="1"/>
    </xf>
    <xf numFmtId="0" fontId="19" fillId="0" borderId="25" xfId="0" applyFont="1" applyBorder="1" applyAlignment="1" applyProtection="1">
      <alignment horizontal="left" vertical="center" wrapText="1"/>
    </xf>
    <xf numFmtId="0" fontId="19" fillId="0" borderId="101" xfId="0" applyFont="1" applyBorder="1" applyAlignment="1" applyProtection="1">
      <alignment horizontal="left" vertical="center" wrapText="1"/>
    </xf>
    <xf numFmtId="0" fontId="19" fillId="6" borderId="25" xfId="0" applyFont="1" applyFill="1" applyBorder="1" applyAlignment="1" applyProtection="1">
      <alignment horizontal="left" vertical="center" wrapText="1"/>
    </xf>
    <xf numFmtId="0" fontId="19" fillId="6" borderId="101" xfId="0" applyFont="1" applyFill="1" applyBorder="1" applyAlignment="1" applyProtection="1">
      <alignment horizontal="left" vertical="center" wrapText="1"/>
    </xf>
    <xf numFmtId="0" fontId="19" fillId="0" borderId="85" xfId="0" applyFont="1" applyBorder="1" applyAlignment="1" applyProtection="1">
      <alignment horizontal="left" vertical="center" wrapText="1"/>
    </xf>
    <xf numFmtId="0" fontId="19" fillId="0" borderId="108" xfId="0" applyFont="1" applyBorder="1" applyAlignment="1" applyProtection="1">
      <alignment horizontal="left" vertical="center" wrapText="1"/>
    </xf>
    <xf numFmtId="0" fontId="19" fillId="0" borderId="93" xfId="0" applyFont="1" applyBorder="1" applyAlignment="1" applyProtection="1">
      <alignment horizontal="left" vertical="center" wrapText="1"/>
    </xf>
    <xf numFmtId="0" fontId="19" fillId="0" borderId="138" xfId="0" applyFont="1" applyBorder="1" applyAlignment="1" applyProtection="1">
      <alignment horizontal="left" vertical="center" wrapText="1"/>
    </xf>
    <xf numFmtId="0" fontId="19" fillId="0" borderId="55" xfId="0" applyFont="1" applyBorder="1" applyAlignment="1" applyProtection="1">
      <alignment horizontal="left" vertical="top" wrapText="1"/>
    </xf>
    <xf numFmtId="0" fontId="19" fillId="0" borderId="1" xfId="0" applyFont="1" applyBorder="1" applyAlignment="1" applyProtection="1">
      <alignment horizontal="left" vertical="top" wrapText="1"/>
    </xf>
    <xf numFmtId="0" fontId="19" fillId="0" borderId="56" xfId="0" applyFont="1" applyBorder="1" applyAlignment="1" applyProtection="1">
      <alignment horizontal="left" vertical="top" wrapText="1"/>
    </xf>
    <xf numFmtId="0" fontId="19" fillId="0" borderId="5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56" xfId="0" applyFont="1" applyBorder="1" applyAlignment="1" applyProtection="1">
      <alignment horizontal="left" vertical="center" wrapText="1"/>
    </xf>
    <xf numFmtId="0" fontId="36" fillId="0" borderId="0" xfId="0" applyFont="1" applyAlignment="1" applyProtection="1">
      <alignment horizontal="center" vertical="center"/>
    </xf>
    <xf numFmtId="0" fontId="27" fillId="0" borderId="134" xfId="0" applyFont="1" applyBorder="1" applyAlignment="1" applyProtection="1">
      <alignment vertical="center" wrapText="1"/>
    </xf>
    <xf numFmtId="0" fontId="27" fillId="0" borderId="137" xfId="0" applyFont="1" applyBorder="1" applyAlignment="1" applyProtection="1">
      <alignment vertical="center" wrapText="1"/>
    </xf>
    <xf numFmtId="0" fontId="19" fillId="0" borderId="99" xfId="0" applyFont="1" applyBorder="1" applyAlignment="1" applyProtection="1">
      <alignment horizontal="left" vertical="center" wrapText="1"/>
    </xf>
    <xf numFmtId="0" fontId="19" fillId="0" borderId="100" xfId="0" applyFont="1" applyBorder="1" applyAlignment="1" applyProtection="1">
      <alignment horizontal="left" vertical="center" wrapText="1"/>
    </xf>
    <xf numFmtId="0" fontId="19" fillId="0" borderId="65" xfId="0" applyFont="1" applyBorder="1" applyAlignment="1" applyProtection="1">
      <alignment vertical="center" wrapText="1"/>
    </xf>
    <xf numFmtId="0" fontId="19" fillId="0" borderId="106" xfId="0" applyFont="1" applyBorder="1" applyAlignment="1" applyProtection="1">
      <alignment vertical="center" wrapText="1"/>
    </xf>
    <xf numFmtId="0" fontId="19" fillId="0" borderId="99" xfId="0" applyFont="1" applyBorder="1" applyAlignment="1" applyProtection="1">
      <alignment vertical="center" wrapText="1"/>
    </xf>
    <xf numFmtId="0" fontId="19" fillId="0" borderId="100" xfId="0" applyFont="1" applyBorder="1" applyAlignment="1" applyProtection="1">
      <alignment vertical="center" wrapText="1"/>
    </xf>
    <xf numFmtId="0" fontId="19" fillId="0" borderId="25" xfId="0" applyFont="1" applyBorder="1" applyAlignment="1" applyProtection="1">
      <alignment vertical="center" wrapText="1"/>
    </xf>
    <xf numFmtId="0" fontId="19" fillId="0" borderId="101" xfId="0" applyFont="1" applyBorder="1" applyAlignment="1" applyProtection="1">
      <alignment vertical="center" wrapText="1"/>
    </xf>
    <xf numFmtId="0" fontId="26" fillId="11" borderId="102" xfId="94" applyFont="1" applyFill="1" applyBorder="1" applyAlignment="1">
      <alignment horizontal="center" vertical="center" wrapText="1"/>
    </xf>
    <xf numFmtId="0" fontId="54" fillId="11" borderId="103" xfId="94" applyFont="1" applyFill="1" applyBorder="1" applyAlignment="1">
      <alignment horizontal="center" vertical="center" wrapText="1"/>
    </xf>
    <xf numFmtId="0" fontId="55" fillId="11" borderId="104" xfId="94" applyFont="1" applyFill="1" applyBorder="1"/>
    <xf numFmtId="0" fontId="19" fillId="0" borderId="65" xfId="0" applyFont="1" applyBorder="1" applyAlignment="1" applyProtection="1">
      <alignment horizontal="left" vertical="center" wrapText="1"/>
    </xf>
    <xf numFmtId="0" fontId="19" fillId="0" borderId="106" xfId="0" applyFont="1" applyBorder="1" applyAlignment="1" applyProtection="1">
      <alignment horizontal="left" vertical="center" wrapText="1"/>
    </xf>
    <xf numFmtId="0" fontId="19" fillId="0" borderId="26"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20" xfId="0" applyFont="1" applyBorder="1" applyAlignment="1" applyProtection="1">
      <alignment horizontal="left" vertical="center" wrapText="1"/>
    </xf>
    <xf numFmtId="0" fontId="29" fillId="0" borderId="55" xfId="0" applyFont="1" applyFill="1" applyBorder="1" applyAlignment="1">
      <alignment horizontal="center" vertical="center" wrapText="1"/>
    </xf>
    <xf numFmtId="170" fontId="29" fillId="0" borderId="1" xfId="0" applyNumberFormat="1" applyFont="1" applyFill="1" applyBorder="1" applyAlignment="1">
      <alignment vertical="center" wrapText="1"/>
    </xf>
    <xf numFmtId="1" fontId="29" fillId="0" borderId="56" xfId="0" applyNumberFormat="1" applyFont="1" applyFill="1" applyBorder="1" applyAlignment="1">
      <alignment horizontal="center" vertical="center" wrapText="1"/>
    </xf>
    <xf numFmtId="0" fontId="31" fillId="0" borderId="55" xfId="0" applyNumberFormat="1" applyFont="1" applyFill="1" applyBorder="1" applyAlignment="1">
      <alignment horizontal="center" vertical="center"/>
    </xf>
    <xf numFmtId="0" fontId="29" fillId="0" borderId="56" xfId="0" applyFont="1" applyFill="1" applyBorder="1" applyAlignment="1">
      <alignment horizontal="left" vertical="center" wrapText="1"/>
    </xf>
    <xf numFmtId="0" fontId="29" fillId="0" borderId="57" xfId="0" applyFont="1" applyFill="1" applyBorder="1" applyAlignment="1">
      <alignment horizontal="center" vertical="center" wrapText="1"/>
    </xf>
    <xf numFmtId="170" fontId="29" fillId="0" borderId="11" xfId="0" applyNumberFormat="1" applyFont="1" applyFill="1" applyBorder="1" applyAlignment="1">
      <alignment vertical="center" wrapText="1"/>
    </xf>
    <xf numFmtId="1" fontId="29" fillId="0" borderId="59" xfId="0" applyNumberFormat="1" applyFont="1" applyFill="1" applyBorder="1" applyAlignment="1">
      <alignment horizontal="center" vertical="center" wrapText="1"/>
    </xf>
    <xf numFmtId="0" fontId="31" fillId="0" borderId="57" xfId="0" applyNumberFormat="1" applyFont="1" applyFill="1" applyBorder="1" applyAlignment="1">
      <alignment horizontal="center" vertical="center"/>
    </xf>
    <xf numFmtId="0" fontId="29" fillId="0" borderId="59" xfId="0" applyFont="1" applyFill="1" applyBorder="1" applyAlignment="1">
      <alignment horizontal="left" vertical="center" wrapText="1"/>
    </xf>
    <xf numFmtId="0" fontId="29" fillId="0" borderId="105" xfId="0" applyFont="1" applyFill="1" applyBorder="1" applyAlignment="1">
      <alignment horizontal="center" vertical="center" wrapText="1"/>
    </xf>
    <xf numFmtId="170" fontId="29" fillId="0" borderId="33" xfId="0" applyNumberFormat="1" applyFont="1" applyFill="1" applyBorder="1" applyAlignment="1">
      <alignment vertical="center" wrapText="1"/>
    </xf>
    <xf numFmtId="1" fontId="29" fillId="0" borderId="109" xfId="0" applyNumberFormat="1" applyFont="1" applyFill="1" applyBorder="1" applyAlignment="1">
      <alignment horizontal="center" vertical="center" wrapText="1"/>
    </xf>
    <xf numFmtId="0" fontId="28" fillId="0" borderId="43"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70" fontId="11" fillId="0" borderId="1" xfId="0" applyNumberFormat="1" applyFont="1" applyFill="1" applyBorder="1" applyAlignment="1">
      <alignment horizontal="center" vertical="center" wrapText="1"/>
    </xf>
    <xf numFmtId="0" fontId="29" fillId="0" borderId="56" xfId="0" applyFont="1" applyFill="1" applyBorder="1" applyAlignment="1">
      <alignment horizontal="center" vertical="center" wrapText="1"/>
    </xf>
    <xf numFmtId="0" fontId="31"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wrapText="1"/>
    </xf>
    <xf numFmtId="0" fontId="31" fillId="0" borderId="105" xfId="0" applyNumberFormat="1" applyFont="1" applyFill="1" applyBorder="1" applyAlignment="1">
      <alignment horizontal="center" vertical="center"/>
    </xf>
    <xf numFmtId="0" fontId="29" fillId="0" borderId="109" xfId="0" applyFont="1" applyFill="1" applyBorder="1" applyAlignment="1">
      <alignment horizontal="left" vertical="center" wrapText="1"/>
    </xf>
    <xf numFmtId="170" fontId="29" fillId="0" borderId="13" xfId="0" applyNumberFormat="1" applyFont="1" applyFill="1" applyBorder="1" applyAlignment="1">
      <alignment horizontal="left" vertical="center" wrapText="1"/>
    </xf>
    <xf numFmtId="170" fontId="29" fillId="0" borderId="33" xfId="0" applyNumberFormat="1" applyFont="1" applyFill="1" applyBorder="1" applyAlignment="1">
      <alignment horizontal="left" vertical="center" wrapText="1"/>
    </xf>
    <xf numFmtId="0" fontId="28" fillId="0" borderId="51" xfId="0" applyFont="1" applyBorder="1" applyAlignment="1" applyProtection="1">
      <alignment horizontal="left" vertical="center" wrapText="1"/>
    </xf>
    <xf numFmtId="0" fontId="27" fillId="12" borderId="43" xfId="0" applyFont="1" applyFill="1" applyBorder="1" applyAlignment="1" applyProtection="1">
      <alignment horizontal="center" vertical="center" wrapText="1"/>
    </xf>
    <xf numFmtId="0" fontId="27" fillId="12" borderId="111" xfId="0" applyFont="1" applyFill="1" applyBorder="1" applyAlignment="1" applyProtection="1">
      <alignment horizontal="center" vertical="center" wrapText="1"/>
    </xf>
    <xf numFmtId="0" fontId="27" fillId="12" borderId="112" xfId="0" applyFont="1" applyFill="1" applyBorder="1" applyAlignment="1" applyProtection="1">
      <alignment horizontal="center" vertical="center"/>
    </xf>
    <xf numFmtId="0" fontId="27" fillId="12" borderId="40" xfId="0" applyFont="1" applyFill="1" applyBorder="1" applyAlignment="1" applyProtection="1">
      <alignment horizontal="center" vertical="center"/>
    </xf>
    <xf numFmtId="0" fontId="27" fillId="12" borderId="41" xfId="0" applyFont="1" applyFill="1" applyBorder="1" applyAlignment="1" applyProtection="1">
      <alignment horizontal="center" vertical="center"/>
    </xf>
    <xf numFmtId="170" fontId="28" fillId="0" borderId="24" xfId="0" applyNumberFormat="1" applyFont="1" applyFill="1" applyBorder="1" applyAlignment="1">
      <alignment vertical="center" wrapText="1"/>
    </xf>
    <xf numFmtId="170" fontId="28" fillId="0" borderId="25" xfId="0" applyNumberFormat="1" applyFont="1" applyFill="1" applyBorder="1" applyAlignment="1">
      <alignment vertical="center" wrapText="1"/>
    </xf>
    <xf numFmtId="170" fontId="28" fillId="0" borderId="101" xfId="0" applyNumberFormat="1" applyFont="1" applyFill="1" applyBorder="1" applyAlignment="1">
      <alignment vertical="center" wrapText="1"/>
    </xf>
    <xf numFmtId="0" fontId="27" fillId="11" borderId="94" xfId="0" applyFont="1" applyFill="1" applyBorder="1" applyAlignment="1">
      <alignment horizontal="center"/>
    </xf>
    <xf numFmtId="0" fontId="27" fillId="11" borderId="91" xfId="0" applyFont="1" applyFill="1" applyBorder="1" applyAlignment="1">
      <alignment horizontal="center"/>
    </xf>
    <xf numFmtId="0" fontId="27" fillId="11" borderId="110" xfId="0" applyFont="1" applyFill="1" applyBorder="1" applyAlignment="1">
      <alignment horizontal="center"/>
    </xf>
    <xf numFmtId="0" fontId="36" fillId="0" borderId="0" xfId="0" applyFont="1" applyAlignment="1">
      <alignment horizontal="center" vertical="center"/>
    </xf>
    <xf numFmtId="170" fontId="27" fillId="11" borderId="122" xfId="0" applyNumberFormat="1" applyFont="1" applyFill="1" applyBorder="1" applyAlignment="1">
      <alignment horizontal="center" vertical="center"/>
    </xf>
    <xf numFmtId="170" fontId="27" fillId="11" borderId="40" xfId="0" applyNumberFormat="1" applyFont="1" applyFill="1" applyBorder="1" applyAlignment="1">
      <alignment horizontal="center" vertical="center"/>
    </xf>
    <xf numFmtId="170" fontId="27" fillId="11" borderId="41" xfId="0" applyNumberFormat="1" applyFont="1" applyFill="1" applyBorder="1" applyAlignment="1">
      <alignment horizontal="center" vertical="center"/>
    </xf>
    <xf numFmtId="0" fontId="28" fillId="0" borderId="51" xfId="0" applyFont="1" applyBorder="1" applyAlignment="1">
      <alignment vertical="top"/>
    </xf>
    <xf numFmtId="0" fontId="27" fillId="12" borderId="43" xfId="0" applyFont="1" applyFill="1" applyBorder="1" applyAlignment="1" applyProtection="1">
      <alignment horizontal="center" vertical="center"/>
    </xf>
    <xf numFmtId="0" fontId="28" fillId="0" borderId="86"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83" xfId="0" applyFont="1" applyBorder="1" applyAlignment="1">
      <alignment horizontal="center" vertical="center"/>
    </xf>
    <xf numFmtId="0" fontId="28" fillId="0" borderId="25" xfId="0" applyFont="1" applyBorder="1" applyAlignment="1">
      <alignment horizontal="center" vertical="center"/>
    </xf>
    <xf numFmtId="0" fontId="28" fillId="0" borderId="101" xfId="0" applyFont="1" applyBorder="1" applyAlignment="1">
      <alignment horizontal="center" vertical="center"/>
    </xf>
    <xf numFmtId="0" fontId="28" fillId="0" borderId="84"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84" xfId="0" applyFont="1" applyBorder="1" applyAlignment="1" applyProtection="1">
      <alignment horizontal="left" vertical="center"/>
    </xf>
    <xf numFmtId="0" fontId="28" fillId="0" borderId="97" xfId="0" applyFont="1" applyBorder="1" applyAlignment="1" applyProtection="1">
      <alignment horizontal="left" vertical="center"/>
    </xf>
    <xf numFmtId="0" fontId="28" fillId="0" borderId="84" xfId="0" applyFont="1" applyBorder="1" applyAlignment="1">
      <alignment horizontal="left" vertical="center"/>
    </xf>
    <xf numFmtId="0" fontId="28" fillId="0" borderId="65" xfId="0" applyFont="1" applyBorder="1" applyAlignment="1">
      <alignment horizontal="left" vertical="center"/>
    </xf>
    <xf numFmtId="0" fontId="28" fillId="0" borderId="106" xfId="0" applyFont="1" applyBorder="1" applyAlignment="1">
      <alignment horizontal="left" vertical="center"/>
    </xf>
    <xf numFmtId="0" fontId="28" fillId="0" borderId="84" xfId="0" applyFont="1" applyBorder="1" applyAlignment="1" applyProtection="1">
      <alignment horizontal="justify" vertical="center"/>
      <protection locked="0"/>
    </xf>
    <xf numFmtId="0" fontId="28" fillId="0" borderId="65" xfId="0" applyFont="1" applyBorder="1" applyAlignment="1" applyProtection="1">
      <alignment horizontal="justify" vertical="center"/>
      <protection locked="0"/>
    </xf>
    <xf numFmtId="0" fontId="28" fillId="0" borderId="106" xfId="0" applyFont="1" applyBorder="1" applyAlignment="1" applyProtection="1">
      <alignment horizontal="justify" vertical="center"/>
      <protection locked="0"/>
    </xf>
    <xf numFmtId="0" fontId="28" fillId="0" borderId="83" xfId="0" applyFont="1" applyBorder="1" applyAlignment="1" applyProtection="1">
      <alignment horizontal="left" vertical="center"/>
    </xf>
    <xf numFmtId="0" fontId="28" fillId="0" borderId="26" xfId="0" applyFont="1" applyBorder="1" applyAlignment="1" applyProtection="1">
      <alignment horizontal="left" vertical="center"/>
    </xf>
    <xf numFmtId="0" fontId="28" fillId="0" borderId="83" xfId="0" applyFont="1" applyBorder="1" applyAlignment="1">
      <alignment horizontal="left" vertical="center"/>
    </xf>
    <xf numFmtId="0" fontId="28" fillId="0" borderId="25" xfId="0" applyFont="1" applyBorder="1" applyAlignment="1">
      <alignment horizontal="left" vertical="center"/>
    </xf>
    <xf numFmtId="0" fontId="28" fillId="0" borderId="101" xfId="0" applyFont="1" applyBorder="1" applyAlignment="1">
      <alignment horizontal="left" vertical="center"/>
    </xf>
    <xf numFmtId="0" fontId="28" fillId="0" borderId="83" xfId="0" applyFont="1" applyBorder="1" applyAlignment="1" applyProtection="1">
      <alignment horizontal="justify" vertical="center"/>
      <protection locked="0"/>
    </xf>
    <xf numFmtId="0" fontId="28" fillId="0" borderId="25" xfId="0" applyFont="1" applyBorder="1" applyAlignment="1" applyProtection="1">
      <alignment horizontal="justify" vertical="center"/>
      <protection locked="0"/>
    </xf>
    <xf numFmtId="0" fontId="28" fillId="0" borderId="101" xfId="0" applyFont="1" applyBorder="1" applyAlignment="1" applyProtection="1">
      <alignment horizontal="justify" vertical="center"/>
      <protection locked="0"/>
    </xf>
    <xf numFmtId="0" fontId="36" fillId="0" borderId="0" xfId="0" applyFont="1" applyBorder="1" applyAlignment="1" applyProtection="1">
      <alignment horizontal="center" vertical="center"/>
    </xf>
    <xf numFmtId="0" fontId="28" fillId="0" borderId="86" xfId="0" applyFont="1" applyBorder="1" applyAlignment="1" applyProtection="1">
      <alignment horizontal="left" vertical="center"/>
    </xf>
    <xf numFmtId="0" fontId="28" fillId="0" borderId="98" xfId="0" applyFont="1" applyBorder="1" applyAlignment="1" applyProtection="1">
      <alignment horizontal="left" vertical="center"/>
    </xf>
    <xf numFmtId="0" fontId="28" fillId="0" borderId="86" xfId="0" applyFont="1" applyBorder="1" applyAlignment="1">
      <alignment horizontal="left" vertical="center"/>
    </xf>
    <xf numFmtId="0" fontId="28" fillId="0" borderId="99" xfId="0" applyFont="1" applyBorder="1" applyAlignment="1">
      <alignment horizontal="left" vertical="center"/>
    </xf>
    <xf numFmtId="0" fontId="28" fillId="0" borderId="100" xfId="0" applyFont="1" applyBorder="1" applyAlignment="1">
      <alignment horizontal="left" vertical="center"/>
    </xf>
    <xf numFmtId="0" fontId="28" fillId="0" borderId="86" xfId="0" applyFont="1" applyBorder="1" applyAlignment="1" applyProtection="1">
      <alignment horizontal="justify" vertical="center"/>
      <protection locked="0"/>
    </xf>
    <xf numFmtId="0" fontId="28" fillId="0" borderId="99" xfId="0" applyFont="1" applyBorder="1" applyAlignment="1" applyProtection="1">
      <alignment horizontal="justify" vertical="center"/>
      <protection locked="0"/>
    </xf>
    <xf numFmtId="0" fontId="28" fillId="0" borderId="100" xfId="0" applyFont="1" applyBorder="1" applyAlignment="1" applyProtection="1">
      <alignment horizontal="justify" vertical="center"/>
      <protection locked="0"/>
    </xf>
    <xf numFmtId="14" fontId="30" fillId="0" borderId="51" xfId="0" applyNumberFormat="1" applyFont="1" applyBorder="1" applyAlignment="1" applyProtection="1">
      <alignment horizontal="right" vertical="center"/>
    </xf>
    <xf numFmtId="0" fontId="36" fillId="11" borderId="123" xfId="0" applyFont="1" applyFill="1" applyBorder="1" applyAlignment="1" applyProtection="1">
      <alignment horizontal="center" vertical="center"/>
    </xf>
    <xf numFmtId="0" fontId="36" fillId="11" borderId="124" xfId="0" applyFont="1" applyFill="1" applyBorder="1" applyAlignment="1" applyProtection="1">
      <alignment horizontal="center" vertical="center"/>
    </xf>
    <xf numFmtId="0" fontId="36" fillId="11" borderId="125" xfId="0" applyFont="1" applyFill="1" applyBorder="1" applyAlignment="1" applyProtection="1">
      <alignment horizontal="center" vertical="center"/>
    </xf>
    <xf numFmtId="0" fontId="32" fillId="12" borderId="121" xfId="0" applyFont="1" applyFill="1" applyBorder="1" applyAlignment="1" applyProtection="1">
      <alignment horizontal="center" vertical="center" wrapText="1"/>
    </xf>
    <xf numFmtId="0" fontId="32" fillId="12" borderId="144" xfId="0" applyFont="1" applyFill="1" applyBorder="1" applyAlignment="1" applyProtection="1">
      <alignment horizontal="center" vertical="center" wrapText="1"/>
    </xf>
    <xf numFmtId="0" fontId="37" fillId="12" borderId="71" xfId="0" applyFont="1" applyFill="1" applyBorder="1" applyAlignment="1" applyProtection="1">
      <alignment horizontal="center" vertical="center" wrapText="1"/>
    </xf>
    <xf numFmtId="0" fontId="36" fillId="12" borderId="5" xfId="0" applyFont="1" applyFill="1" applyBorder="1" applyAlignment="1" applyProtection="1">
      <alignment horizontal="center" vertical="center" wrapText="1"/>
    </xf>
    <xf numFmtId="0" fontId="37" fillId="12" borderId="5" xfId="0" applyFont="1" applyFill="1" applyBorder="1" applyAlignment="1" applyProtection="1">
      <alignment horizontal="center" vertical="center" wrapText="1"/>
    </xf>
    <xf numFmtId="0" fontId="27" fillId="12" borderId="71" xfId="0" applyFont="1" applyFill="1" applyBorder="1" applyAlignment="1" applyProtection="1">
      <alignment horizontal="center" vertical="center" wrapText="1"/>
    </xf>
    <xf numFmtId="0" fontId="27" fillId="12" borderId="5" xfId="0" applyFont="1" applyFill="1" applyBorder="1" applyAlignment="1" applyProtection="1">
      <alignment horizontal="center" vertical="center"/>
    </xf>
    <xf numFmtId="0" fontId="33" fillId="12" borderId="77" xfId="0" applyFont="1" applyFill="1" applyBorder="1" applyAlignment="1" applyProtection="1">
      <alignment horizontal="center" vertical="center" wrapText="1"/>
    </xf>
    <xf numFmtId="0" fontId="33" fillId="12" borderId="71" xfId="0" applyFont="1" applyFill="1" applyBorder="1" applyAlignment="1" applyProtection="1">
      <alignment horizontal="center" vertical="center"/>
    </xf>
    <xf numFmtId="0" fontId="30" fillId="12" borderId="19" xfId="0" applyFont="1" applyFill="1" applyBorder="1" applyAlignment="1" applyProtection="1">
      <alignment horizontal="center" vertical="center" wrapText="1"/>
    </xf>
    <xf numFmtId="0" fontId="30" fillId="12" borderId="131" xfId="0" applyFont="1" applyFill="1" applyBorder="1" applyAlignment="1" applyProtection="1">
      <alignment horizontal="center" vertical="center" wrapText="1"/>
    </xf>
    <xf numFmtId="0" fontId="30" fillId="12" borderId="71" xfId="0" applyFont="1" applyFill="1" applyBorder="1" applyAlignment="1" applyProtection="1">
      <alignment horizontal="center" vertical="center"/>
    </xf>
    <xf numFmtId="0" fontId="30" fillId="12" borderId="72" xfId="0" applyFont="1" applyFill="1" applyBorder="1" applyAlignment="1" applyProtection="1">
      <alignment horizontal="center" vertical="center"/>
    </xf>
    <xf numFmtId="0" fontId="30" fillId="7" borderId="43" xfId="0" applyFont="1" applyFill="1" applyBorder="1" applyAlignment="1" applyProtection="1">
      <alignment horizontal="center" vertical="center"/>
    </xf>
    <xf numFmtId="0" fontId="30" fillId="7" borderId="103"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30" fillId="7" borderId="122" xfId="0" applyFont="1" applyFill="1" applyBorder="1" applyAlignment="1" applyProtection="1">
      <alignment horizontal="center" vertical="center"/>
    </xf>
    <xf numFmtId="0" fontId="30" fillId="7" borderId="40" xfId="0" applyFont="1" applyFill="1" applyBorder="1" applyAlignment="1" applyProtection="1">
      <alignment horizontal="center" vertical="center"/>
    </xf>
    <xf numFmtId="0" fontId="30" fillId="7" borderId="41" xfId="0" applyFont="1" applyFill="1" applyBorder="1" applyAlignment="1" applyProtection="1">
      <alignment horizontal="center" vertical="center"/>
    </xf>
    <xf numFmtId="0" fontId="30" fillId="12" borderId="18" xfId="0" applyFont="1" applyFill="1" applyBorder="1" applyAlignment="1" applyProtection="1">
      <alignment horizontal="center" vertical="center"/>
    </xf>
    <xf numFmtId="0" fontId="30" fillId="12" borderId="20" xfId="0" applyFont="1" applyFill="1" applyBorder="1" applyAlignment="1" applyProtection="1">
      <alignment horizontal="center" vertical="center"/>
    </xf>
    <xf numFmtId="0" fontId="30" fillId="12" borderId="21" xfId="0" applyFont="1" applyFill="1" applyBorder="1" applyAlignment="1" applyProtection="1">
      <alignment horizontal="center" vertical="center"/>
    </xf>
    <xf numFmtId="0" fontId="11" fillId="0" borderId="1" xfId="151" applyFont="1" applyBorder="1" applyAlignment="1">
      <alignment horizontal="center" vertical="center" wrapText="1"/>
    </xf>
    <xf numFmtId="0" fontId="11" fillId="0" borderId="11" xfId="151" applyFont="1" applyBorder="1" applyAlignment="1">
      <alignment horizontal="center" vertical="center" wrapText="1"/>
    </xf>
    <xf numFmtId="0" fontId="11" fillId="0" borderId="1" xfId="151" applyFont="1" applyFill="1" applyBorder="1" applyAlignment="1">
      <alignment horizontal="center" vertical="center"/>
    </xf>
    <xf numFmtId="0" fontId="11" fillId="0" borderId="11" xfId="151" applyFont="1" applyFill="1" applyBorder="1" applyAlignment="1">
      <alignment horizontal="center" vertical="center"/>
    </xf>
    <xf numFmtId="4" fontId="11" fillId="0" borderId="33" xfId="151" applyNumberFormat="1" applyFont="1" applyFill="1" applyBorder="1" applyAlignment="1">
      <alignment horizontal="center" vertical="center"/>
    </xf>
    <xf numFmtId="4" fontId="11" fillId="0" borderId="1" xfId="151" applyNumberFormat="1" applyFont="1" applyFill="1" applyBorder="1" applyAlignment="1">
      <alignment horizontal="center" vertical="center"/>
    </xf>
    <xf numFmtId="0" fontId="11" fillId="0" borderId="33" xfId="151" applyFont="1" applyBorder="1" applyAlignment="1">
      <alignment horizontal="center" vertical="center" wrapText="1"/>
    </xf>
    <xf numFmtId="3" fontId="11" fillId="0" borderId="33" xfId="151" applyNumberFormat="1" applyFont="1" applyFill="1" applyBorder="1" applyAlignment="1">
      <alignment horizontal="center" vertical="center"/>
    </xf>
    <xf numFmtId="3" fontId="11" fillId="0" borderId="1" xfId="151" applyNumberFormat="1" applyFont="1" applyFill="1" applyBorder="1" applyAlignment="1">
      <alignment horizontal="center" vertical="center"/>
    </xf>
    <xf numFmtId="4" fontId="16" fillId="0" borderId="1" xfId="151" applyNumberFormat="1" applyFont="1" applyFill="1" applyBorder="1" applyAlignment="1">
      <alignment horizontal="center" vertical="center" wrapText="1"/>
    </xf>
    <xf numFmtId="4" fontId="16" fillId="0" borderId="11" xfId="151" applyNumberFormat="1" applyFont="1" applyFill="1" applyBorder="1" applyAlignment="1">
      <alignment horizontal="center" vertical="center" wrapText="1"/>
    </xf>
    <xf numFmtId="1" fontId="11" fillId="0" borderId="1" xfId="2212" applyNumberFormat="1" applyFont="1" applyFill="1" applyBorder="1" applyAlignment="1">
      <alignment horizontal="center" vertical="center" wrapText="1"/>
    </xf>
    <xf numFmtId="1" fontId="11" fillId="0" borderId="11" xfId="2212" applyNumberFormat="1" applyFont="1" applyFill="1" applyBorder="1" applyAlignment="1">
      <alignment horizontal="center" vertical="center" wrapText="1"/>
    </xf>
    <xf numFmtId="0" fontId="11" fillId="0" borderId="1" xfId="2256" applyFont="1" applyFill="1" applyBorder="1" applyAlignment="1" applyProtection="1">
      <alignment horizontal="justify" vertical="center"/>
      <protection locked="0"/>
    </xf>
    <xf numFmtId="0" fontId="11" fillId="0" borderId="11" xfId="2256" applyFont="1" applyFill="1" applyBorder="1" applyAlignment="1" applyProtection="1">
      <alignment horizontal="justify" vertical="center"/>
      <protection locked="0"/>
    </xf>
    <xf numFmtId="9" fontId="11" fillId="0" borderId="1" xfId="151" applyNumberFormat="1" applyFont="1" applyFill="1" applyBorder="1" applyAlignment="1">
      <alignment horizontal="center" vertical="center"/>
    </xf>
    <xf numFmtId="9" fontId="11" fillId="0" borderId="11" xfId="151" applyNumberFormat="1" applyFont="1" applyFill="1" applyBorder="1" applyAlignment="1">
      <alignment horizontal="center" vertical="center"/>
    </xf>
    <xf numFmtId="1" fontId="11" fillId="0" borderId="33" xfId="2212" applyNumberFormat="1" applyFont="1" applyFill="1" applyBorder="1" applyAlignment="1">
      <alignment horizontal="center" vertical="center"/>
    </xf>
    <xf numFmtId="1" fontId="11" fillId="0" borderId="1" xfId="2212" applyNumberFormat="1" applyFont="1" applyFill="1" applyBorder="1" applyAlignment="1">
      <alignment horizontal="center" vertical="center"/>
    </xf>
    <xf numFmtId="0" fontId="11" fillId="0" borderId="33" xfId="2256" applyFont="1" applyFill="1" applyBorder="1" applyAlignment="1" applyProtection="1">
      <alignment horizontal="justify" vertical="center" wrapText="1"/>
      <protection locked="0"/>
    </xf>
    <xf numFmtId="0" fontId="11" fillId="0" borderId="1" xfId="2256" applyFont="1" applyFill="1" applyBorder="1" applyAlignment="1" applyProtection="1">
      <alignment horizontal="justify" vertical="center" wrapText="1"/>
      <protection locked="0"/>
    </xf>
    <xf numFmtId="9" fontId="11" fillId="0" borderId="33" xfId="151" applyNumberFormat="1" applyFont="1" applyFill="1" applyBorder="1" applyAlignment="1">
      <alignment horizontal="center" vertical="center"/>
    </xf>
    <xf numFmtId="4" fontId="11" fillId="0" borderId="33" xfId="151" applyNumberFormat="1" applyFont="1" applyFill="1" applyBorder="1" applyAlignment="1">
      <alignment horizontal="right" vertical="center"/>
    </xf>
    <xf numFmtId="4" fontId="11" fillId="0" borderId="1" xfId="151" applyNumberFormat="1" applyFont="1" applyFill="1" applyBorder="1" applyAlignment="1">
      <alignment horizontal="right" vertical="center"/>
    </xf>
    <xf numFmtId="4" fontId="11" fillId="0" borderId="11" xfId="151" applyNumberFormat="1" applyFont="1" applyFill="1" applyBorder="1" applyAlignment="1">
      <alignment horizontal="right" vertical="center"/>
    </xf>
    <xf numFmtId="0" fontId="28" fillId="0" borderId="11" xfId="151" applyFont="1" applyBorder="1" applyAlignment="1">
      <alignment vertical="center" wrapText="1"/>
    </xf>
    <xf numFmtId="0" fontId="28" fillId="0" borderId="59" xfId="151" applyFont="1" applyBorder="1" applyAlignment="1">
      <alignment vertical="center" wrapText="1"/>
    </xf>
    <xf numFmtId="0" fontId="11" fillId="6" borderId="105" xfId="151" applyFont="1" applyFill="1" applyBorder="1" applyAlignment="1">
      <alignment horizontal="center" vertical="center"/>
    </xf>
    <xf numFmtId="0" fontId="11" fillId="6" borderId="55" xfId="151" applyFont="1" applyFill="1" applyBorder="1" applyAlignment="1">
      <alignment horizontal="center" vertical="center"/>
    </xf>
    <xf numFmtId="0" fontId="30" fillId="12" borderId="43" xfId="0" applyFont="1" applyFill="1" applyBorder="1" applyAlignment="1" applyProtection="1">
      <alignment horizontal="center" vertical="center"/>
    </xf>
    <xf numFmtId="0" fontId="30" fillId="12" borderId="40" xfId="0" applyFont="1" applyFill="1" applyBorder="1" applyAlignment="1" applyProtection="1">
      <alignment horizontal="center" vertical="center"/>
    </xf>
    <xf numFmtId="0" fontId="30" fillId="12" borderId="41" xfId="0" applyFont="1" applyFill="1" applyBorder="1" applyAlignment="1" applyProtection="1">
      <alignment horizontal="center" vertical="center"/>
    </xf>
    <xf numFmtId="0" fontId="28" fillId="0" borderId="86" xfId="219" applyFont="1" applyFill="1" applyBorder="1" applyAlignment="1" applyProtection="1">
      <alignment horizontal="left" vertical="center"/>
    </xf>
    <xf numFmtId="0" fontId="28" fillId="0" borderId="99" xfId="219" applyFont="1" applyFill="1" applyBorder="1" applyAlignment="1" applyProtection="1">
      <alignment horizontal="left" vertical="center"/>
    </xf>
    <xf numFmtId="0" fontId="28" fillId="0" borderId="100" xfId="219" applyFont="1" applyFill="1" applyBorder="1" applyAlignment="1" applyProtection="1">
      <alignment horizontal="left" vertical="center"/>
    </xf>
    <xf numFmtId="0" fontId="28" fillId="0" borderId="83" xfId="219" applyFont="1" applyFill="1" applyBorder="1" applyAlignment="1">
      <alignment horizontal="left" vertical="center" wrapText="1"/>
    </xf>
    <xf numFmtId="0" fontId="28" fillId="0" borderId="25" xfId="219" applyFont="1" applyFill="1" applyBorder="1" applyAlignment="1">
      <alignment horizontal="left" vertical="center" wrapText="1"/>
    </xf>
    <xf numFmtId="0" fontId="28" fillId="0" borderId="101" xfId="219" applyFont="1" applyFill="1" applyBorder="1" applyAlignment="1">
      <alignment horizontal="left" vertical="center" wrapText="1"/>
    </xf>
    <xf numFmtId="0" fontId="28" fillId="0" borderId="84" xfId="219" applyFont="1" applyFill="1" applyBorder="1" applyAlignment="1">
      <alignment horizontal="left" vertical="center" wrapText="1"/>
    </xf>
    <xf numFmtId="0" fontId="28" fillId="0" borderId="65" xfId="219" applyFont="1" applyFill="1" applyBorder="1" applyAlignment="1">
      <alignment horizontal="left" vertical="center" wrapText="1"/>
    </xf>
    <xf numFmtId="0" fontId="28" fillId="0" borderId="106" xfId="219" applyFont="1" applyFill="1" applyBorder="1" applyAlignment="1">
      <alignment horizontal="left" vertical="center" wrapText="1"/>
    </xf>
    <xf numFmtId="0" fontId="28" fillId="0" borderId="86" xfId="151" applyFont="1" applyBorder="1" applyAlignment="1">
      <alignment vertical="center" wrapText="1"/>
    </xf>
    <xf numFmtId="0" fontId="28" fillId="0" borderId="99" xfId="151" applyFont="1" applyBorder="1" applyAlignment="1">
      <alignment vertical="center" wrapText="1"/>
    </xf>
    <xf numFmtId="0" fontId="28" fillId="0" borderId="100" xfId="151" applyFont="1" applyBorder="1" applyAlignment="1">
      <alignment vertical="center" wrapText="1"/>
    </xf>
    <xf numFmtId="0" fontId="28" fillId="0" borderId="83" xfId="151" applyFont="1" applyBorder="1" applyAlignment="1">
      <alignment vertical="center" wrapText="1"/>
    </xf>
    <xf numFmtId="0" fontId="28" fillId="0" borderId="25" xfId="151" applyFont="1" applyBorder="1" applyAlignment="1">
      <alignment vertical="center" wrapText="1"/>
    </xf>
    <xf numFmtId="0" fontId="28" fillId="0" borderId="101" xfId="151" applyFont="1" applyBorder="1" applyAlignment="1">
      <alignment vertical="center" wrapText="1"/>
    </xf>
    <xf numFmtId="0" fontId="28" fillId="0" borderId="84" xfId="151" applyFont="1" applyBorder="1" applyAlignment="1">
      <alignment vertical="center" wrapText="1"/>
    </xf>
    <xf numFmtId="0" fontId="28" fillId="0" borderId="65" xfId="151" applyFont="1" applyBorder="1" applyAlignment="1">
      <alignment vertical="center" wrapText="1"/>
    </xf>
    <xf numFmtId="0" fontId="28" fillId="0" borderId="106" xfId="151" applyFont="1" applyBorder="1" applyAlignment="1">
      <alignment vertical="center" wrapText="1"/>
    </xf>
    <xf numFmtId="0" fontId="28" fillId="0" borderId="63" xfId="151" applyFont="1" applyBorder="1" applyAlignment="1">
      <alignment vertical="center" wrapText="1"/>
    </xf>
    <xf numFmtId="0" fontId="28" fillId="0" borderId="64" xfId="151" applyFont="1" applyBorder="1" applyAlignment="1">
      <alignment vertical="center" wrapText="1"/>
    </xf>
    <xf numFmtId="0" fontId="28" fillId="0" borderId="57" xfId="219" applyFont="1" applyFill="1" applyBorder="1" applyAlignment="1">
      <alignment vertical="center" wrapText="1"/>
    </xf>
    <xf numFmtId="0" fontId="28" fillId="0" borderId="11" xfId="219" applyFont="1" applyFill="1" applyBorder="1" applyAlignment="1">
      <alignment vertical="center" wrapText="1"/>
    </xf>
    <xf numFmtId="0" fontId="28" fillId="0" borderId="59" xfId="219" applyFont="1" applyFill="1" applyBorder="1" applyAlignment="1">
      <alignment vertical="center" wrapText="1"/>
    </xf>
    <xf numFmtId="0" fontId="28" fillId="0" borderId="62" xfId="219" applyFont="1" applyFill="1" applyBorder="1" applyAlignment="1" applyProtection="1">
      <alignment vertical="center"/>
    </xf>
    <xf numFmtId="0" fontId="28" fillId="0" borderId="63" xfId="219" applyFont="1" applyFill="1" applyBorder="1" applyAlignment="1" applyProtection="1">
      <alignment vertical="center"/>
    </xf>
    <xf numFmtId="0" fontId="28" fillId="0" borderId="64" xfId="219" applyFont="1" applyFill="1" applyBorder="1" applyAlignment="1" applyProtection="1">
      <alignment vertical="center"/>
    </xf>
    <xf numFmtId="0" fontId="28" fillId="0" borderId="55" xfId="219" applyFont="1" applyFill="1" applyBorder="1" applyAlignment="1">
      <alignment vertical="center" wrapText="1"/>
    </xf>
    <xf numFmtId="0" fontId="28" fillId="0" borderId="1" xfId="219" applyFont="1" applyFill="1" applyBorder="1" applyAlignment="1">
      <alignment vertical="center" wrapText="1"/>
    </xf>
    <xf numFmtId="0" fontId="28" fillId="0" borderId="56" xfId="219" applyFont="1" applyFill="1" applyBorder="1" applyAlignment="1">
      <alignment vertical="center" wrapText="1"/>
    </xf>
    <xf numFmtId="0" fontId="27" fillId="12" borderId="43" xfId="151" applyFont="1" applyFill="1" applyBorder="1" applyAlignment="1">
      <alignment horizontal="center" vertical="center" wrapText="1"/>
    </xf>
    <xf numFmtId="0" fontId="27" fillId="12" borderId="40" xfId="151" applyFont="1" applyFill="1" applyBorder="1" applyAlignment="1">
      <alignment horizontal="center" vertical="center" wrapText="1"/>
    </xf>
    <xf numFmtId="0" fontId="27" fillId="12" borderId="41" xfId="151" applyFont="1" applyFill="1" applyBorder="1" applyAlignment="1">
      <alignment horizontal="center" vertical="center" wrapText="1"/>
    </xf>
    <xf numFmtId="0" fontId="28" fillId="0" borderId="1" xfId="151" applyFont="1" applyBorder="1" applyAlignment="1">
      <alignment vertical="center" wrapText="1"/>
    </xf>
    <xf numFmtId="0" fontId="28" fillId="0" borderId="56" xfId="151" applyFont="1" applyBorder="1" applyAlignment="1">
      <alignment vertical="center" wrapText="1"/>
    </xf>
    <xf numFmtId="0" fontId="27" fillId="12" borderId="63" xfId="151" applyFont="1" applyFill="1" applyBorder="1" applyAlignment="1">
      <alignment horizontal="center" vertical="center" wrapText="1"/>
    </xf>
    <xf numFmtId="0" fontId="27" fillId="12" borderId="1" xfId="151" applyFont="1" applyFill="1" applyBorder="1" applyAlignment="1">
      <alignment horizontal="center" vertical="center" wrapText="1"/>
    </xf>
    <xf numFmtId="0" fontId="27" fillId="12" borderId="11" xfId="151" applyFont="1" applyFill="1" applyBorder="1" applyAlignment="1">
      <alignment horizontal="center" vertical="center" wrapText="1"/>
    </xf>
    <xf numFmtId="0" fontId="27" fillId="12" borderId="1" xfId="151" applyFont="1" applyFill="1" applyBorder="1" applyAlignment="1">
      <alignment horizontal="center" vertical="center"/>
    </xf>
    <xf numFmtId="0" fontId="27" fillId="12" borderId="11" xfId="151" applyFont="1" applyFill="1" applyBorder="1" applyAlignment="1">
      <alignment horizontal="center" vertical="center"/>
    </xf>
    <xf numFmtId="10" fontId="11" fillId="0" borderId="33" xfId="2262" applyNumberFormat="1" applyFont="1" applyFill="1" applyBorder="1" applyAlignment="1">
      <alignment horizontal="center" vertical="center"/>
    </xf>
    <xf numFmtId="10" fontId="11" fillId="0" borderId="1" xfId="2262" applyNumberFormat="1" applyFont="1" applyFill="1" applyBorder="1" applyAlignment="1">
      <alignment horizontal="center" vertical="center"/>
    </xf>
    <xf numFmtId="171" fontId="11" fillId="0" borderId="33" xfId="2241" applyNumberFormat="1" applyFont="1" applyFill="1" applyBorder="1" applyAlignment="1">
      <alignment horizontal="right" vertical="center"/>
    </xf>
    <xf numFmtId="171" fontId="11" fillId="0" borderId="1" xfId="2241" applyNumberFormat="1" applyFont="1" applyFill="1" applyBorder="1" applyAlignment="1">
      <alignment horizontal="right" vertical="center"/>
    </xf>
    <xf numFmtId="4" fontId="11" fillId="0" borderId="33" xfId="2241" applyNumberFormat="1" applyFont="1" applyFill="1" applyBorder="1" applyAlignment="1">
      <alignment horizontal="right" vertical="center"/>
    </xf>
    <xf numFmtId="4" fontId="11" fillId="0" borderId="1" xfId="2241" applyNumberFormat="1" applyFont="1" applyFill="1" applyBorder="1" applyAlignment="1">
      <alignment horizontal="right" vertical="center"/>
    </xf>
    <xf numFmtId="4" fontId="19" fillId="9" borderId="33" xfId="2241" applyNumberFormat="1" applyFont="1" applyFill="1" applyBorder="1" applyAlignment="1">
      <alignment horizontal="right" vertical="center"/>
    </xf>
    <xf numFmtId="4" fontId="19" fillId="9" borderId="1" xfId="2241" applyNumberFormat="1" applyFont="1" applyFill="1" applyBorder="1" applyAlignment="1">
      <alignment horizontal="right" vertical="center"/>
    </xf>
    <xf numFmtId="0" fontId="36" fillId="0" borderId="0" xfId="151" applyFont="1" applyAlignment="1">
      <alignment horizontal="center" vertical="center"/>
    </xf>
    <xf numFmtId="0" fontId="36" fillId="11" borderId="94" xfId="151" applyFont="1" applyFill="1" applyBorder="1" applyAlignment="1">
      <alignment horizontal="center" vertical="center"/>
    </xf>
    <xf numFmtId="0" fontId="36" fillId="11" borderId="91" xfId="151" applyFont="1" applyFill="1" applyBorder="1" applyAlignment="1">
      <alignment horizontal="center" vertical="center"/>
    </xf>
    <xf numFmtId="0" fontId="36" fillId="11" borderId="110" xfId="151" applyFont="1" applyFill="1" applyBorder="1" applyAlignment="1">
      <alignment horizontal="center" vertical="center"/>
    </xf>
    <xf numFmtId="0" fontId="27" fillId="12" borderId="64" xfId="151" applyFont="1" applyFill="1" applyBorder="1" applyAlignment="1">
      <alignment horizontal="center" vertical="center" wrapText="1"/>
    </xf>
    <xf numFmtId="0" fontId="27" fillId="12" borderId="56" xfId="151" applyFont="1" applyFill="1" applyBorder="1" applyAlignment="1">
      <alignment horizontal="center" vertical="center" wrapText="1"/>
    </xf>
    <xf numFmtId="0" fontId="28" fillId="12" borderId="59" xfId="151" applyFont="1" applyFill="1" applyBorder="1" applyAlignment="1">
      <alignment horizontal="center" vertical="center" wrapText="1"/>
    </xf>
    <xf numFmtId="0" fontId="11" fillId="6" borderId="57" xfId="151" applyFont="1" applyFill="1" applyBorder="1" applyAlignment="1">
      <alignment horizontal="center" vertical="center"/>
    </xf>
    <xf numFmtId="0" fontId="28" fillId="12" borderId="11" xfId="151" applyFont="1" applyFill="1" applyBorder="1" applyAlignment="1">
      <alignment horizontal="center" vertical="center" wrapText="1"/>
    </xf>
    <xf numFmtId="0" fontId="27" fillId="12" borderId="62" xfId="151" applyFont="1" applyFill="1" applyBorder="1" applyAlignment="1">
      <alignment horizontal="center" vertical="center" wrapText="1"/>
    </xf>
    <xf numFmtId="0" fontId="27" fillId="12" borderId="55" xfId="151" applyFont="1" applyFill="1" applyBorder="1" applyAlignment="1">
      <alignment horizontal="center" vertical="center" wrapText="1"/>
    </xf>
    <xf numFmtId="0" fontId="27" fillId="12" borderId="57" xfId="151" applyFont="1" applyFill="1" applyBorder="1" applyAlignment="1">
      <alignment horizontal="center" vertical="center" wrapText="1"/>
    </xf>
    <xf numFmtId="171" fontId="19" fillId="9" borderId="33" xfId="2241" applyNumberFormat="1" applyFont="1" applyFill="1" applyBorder="1" applyAlignment="1">
      <alignment horizontal="right" vertical="center"/>
    </xf>
    <xf numFmtId="171" fontId="19" fillId="9" borderId="1" xfId="2241" applyNumberFormat="1" applyFont="1" applyFill="1" applyBorder="1" applyAlignment="1">
      <alignment horizontal="right" vertical="center"/>
    </xf>
    <xf numFmtId="0" fontId="16" fillId="6" borderId="33" xfId="151" applyFont="1" applyFill="1" applyBorder="1" applyAlignment="1">
      <alignment horizontal="center" vertical="center" wrapText="1"/>
    </xf>
    <xf numFmtId="0" fontId="16" fillId="6" borderId="1" xfId="151" applyFont="1" applyFill="1" applyBorder="1" applyAlignment="1">
      <alignment horizontal="center" vertical="center" wrapText="1"/>
    </xf>
    <xf numFmtId="0" fontId="11" fillId="6" borderId="109" xfId="151" applyFont="1" applyFill="1" applyBorder="1" applyAlignment="1">
      <alignment horizontal="center" vertical="center" wrapText="1"/>
    </xf>
    <xf numFmtId="0" fontId="11" fillId="6" borderId="56" xfId="151" applyFont="1" applyFill="1" applyBorder="1" applyAlignment="1">
      <alignment horizontal="center" vertical="center" wrapText="1"/>
    </xf>
    <xf numFmtId="10" fontId="11" fillId="0" borderId="11" xfId="2262" applyNumberFormat="1" applyFont="1" applyFill="1" applyBorder="1" applyAlignment="1">
      <alignment horizontal="center" vertical="center"/>
    </xf>
    <xf numFmtId="171" fontId="11" fillId="0" borderId="1" xfId="2241" applyNumberFormat="1" applyFont="1" applyFill="1" applyBorder="1" applyAlignment="1">
      <alignment horizontal="center" vertical="center"/>
    </xf>
    <xf numFmtId="171" fontId="11" fillId="0" borderId="11" xfId="2241" applyNumberFormat="1" applyFont="1" applyFill="1" applyBorder="1" applyAlignment="1">
      <alignment horizontal="center" vertical="center"/>
    </xf>
    <xf numFmtId="4" fontId="11" fillId="0" borderId="11" xfId="2241" applyNumberFormat="1" applyFont="1" applyFill="1" applyBorder="1" applyAlignment="1">
      <alignment horizontal="right" vertical="center"/>
    </xf>
    <xf numFmtId="0" fontId="11" fillId="6" borderId="1" xfId="151" applyFont="1" applyFill="1" applyBorder="1" applyAlignment="1">
      <alignment horizontal="center" vertical="center" wrapText="1"/>
    </xf>
    <xf numFmtId="0" fontId="11" fillId="6" borderId="11" xfId="151" applyFont="1" applyFill="1" applyBorder="1" applyAlignment="1">
      <alignment horizontal="center" vertical="center" wrapText="1"/>
    </xf>
    <xf numFmtId="0" fontId="11" fillId="6" borderId="59" xfId="151" applyFont="1" applyFill="1" applyBorder="1" applyAlignment="1">
      <alignment horizontal="center" vertical="center" wrapText="1"/>
    </xf>
    <xf numFmtId="4" fontId="11" fillId="9" borderId="1" xfId="2241" applyNumberFormat="1" applyFont="1" applyFill="1" applyBorder="1" applyAlignment="1">
      <alignment horizontal="right" vertical="center"/>
    </xf>
    <xf numFmtId="4" fontId="11" fillId="9" borderId="11" xfId="2241" applyNumberFormat="1" applyFont="1" applyFill="1" applyBorder="1" applyAlignment="1">
      <alignment horizontal="right" vertical="center"/>
    </xf>
    <xf numFmtId="171" fontId="11" fillId="9" borderId="1" xfId="2241" applyNumberFormat="1" applyFont="1" applyFill="1" applyBorder="1" applyAlignment="1">
      <alignment horizontal="right" vertical="center"/>
    </xf>
    <xf numFmtId="171" fontId="11" fillId="9" borderId="11" xfId="2241" applyNumberFormat="1" applyFont="1" applyFill="1" applyBorder="1" applyAlignment="1">
      <alignment horizontal="right" vertical="center"/>
    </xf>
    <xf numFmtId="0" fontId="27" fillId="0" borderId="51" xfId="151" applyFont="1" applyBorder="1" applyAlignment="1">
      <alignment horizontal="left" vertical="center"/>
    </xf>
    <xf numFmtId="0" fontId="30" fillId="12" borderId="63" xfId="151" applyFont="1" applyFill="1" applyBorder="1" applyAlignment="1">
      <alignment horizontal="center" vertical="center" wrapText="1"/>
    </xf>
    <xf numFmtId="0" fontId="30" fillId="12" borderId="1" xfId="151" applyFont="1" applyFill="1" applyBorder="1" applyAlignment="1">
      <alignment horizontal="center" vertical="center" wrapText="1"/>
    </xf>
    <xf numFmtId="0" fontId="30" fillId="12" borderId="11" xfId="151" applyFont="1" applyFill="1" applyBorder="1" applyAlignment="1">
      <alignment horizontal="center" vertical="center" wrapText="1"/>
    </xf>
    <xf numFmtId="0" fontId="31" fillId="12" borderId="11" xfId="151" applyFont="1" applyFill="1" applyBorder="1" applyAlignment="1">
      <alignment horizontal="center" vertical="center" wrapText="1"/>
    </xf>
    <xf numFmtId="0" fontId="27" fillId="12" borderId="149" xfId="151" applyFont="1" applyFill="1" applyBorder="1" applyAlignment="1">
      <alignment horizontal="center" vertical="center" wrapText="1"/>
    </xf>
    <xf numFmtId="0" fontId="27" fillId="12" borderId="0" xfId="151" applyFont="1" applyFill="1" applyBorder="1" applyAlignment="1">
      <alignment horizontal="center" vertical="center" wrapText="1"/>
    </xf>
    <xf numFmtId="0" fontId="27" fillId="12" borderId="120" xfId="151" applyFont="1" applyFill="1" applyBorder="1" applyAlignment="1">
      <alignment horizontal="center" vertical="center" wrapText="1"/>
    </xf>
    <xf numFmtId="0" fontId="27" fillId="12" borderId="149" xfId="34" applyFont="1" applyFill="1" applyBorder="1" applyAlignment="1" applyProtection="1">
      <alignment horizontal="center" vertical="center"/>
    </xf>
    <xf numFmtId="0" fontId="27" fillId="12" borderId="0" xfId="34" applyFont="1" applyFill="1" applyBorder="1" applyAlignment="1" applyProtection="1">
      <alignment horizontal="center" vertical="center"/>
    </xf>
    <xf numFmtId="0" fontId="27" fillId="12" borderId="120" xfId="34" applyFont="1" applyFill="1" applyBorder="1" applyAlignment="1" applyProtection="1">
      <alignment horizontal="center" vertical="center"/>
    </xf>
    <xf numFmtId="0" fontId="56" fillId="0" borderId="62" xfId="2286" applyFont="1" applyFill="1" applyBorder="1" applyAlignment="1" applyProtection="1">
      <alignment vertical="center"/>
    </xf>
    <xf numFmtId="0" fontId="56" fillId="0" borderId="63" xfId="2286" applyFont="1" applyFill="1" applyBorder="1" applyAlignment="1" applyProtection="1">
      <alignment vertical="center"/>
    </xf>
    <xf numFmtId="0" fontId="56" fillId="0" borderId="63" xfId="2286" applyFont="1" applyFill="1" applyBorder="1" applyAlignment="1" applyProtection="1">
      <alignment horizontal="left" vertical="center"/>
    </xf>
    <xf numFmtId="0" fontId="56" fillId="0" borderId="63" xfId="151" applyFont="1" applyBorder="1" applyAlignment="1">
      <alignment horizontal="left" vertical="center" wrapText="1"/>
    </xf>
    <xf numFmtId="0" fontId="28" fillId="0" borderId="63" xfId="151" applyFont="1" applyBorder="1" applyAlignment="1">
      <alignment horizontal="center" vertical="center" wrapText="1"/>
    </xf>
    <xf numFmtId="0" fontId="28" fillId="0" borderId="64" xfId="151" applyFont="1" applyBorder="1" applyAlignment="1">
      <alignment horizontal="center" vertical="center" wrapText="1"/>
    </xf>
    <xf numFmtId="0" fontId="56" fillId="0" borderId="55" xfId="2286" applyFont="1" applyFill="1" applyBorder="1" applyAlignment="1">
      <alignment vertical="center" wrapText="1"/>
    </xf>
    <xf numFmtId="0" fontId="56" fillId="0" borderId="1" xfId="2286" applyFont="1" applyFill="1" applyBorder="1" applyAlignment="1">
      <alignment vertical="center" wrapText="1"/>
    </xf>
    <xf numFmtId="0" fontId="56" fillId="0" borderId="1" xfId="2286" applyFont="1" applyFill="1" applyBorder="1" applyAlignment="1">
      <alignment horizontal="left" vertical="center" wrapText="1"/>
    </xf>
    <xf numFmtId="0" fontId="56" fillId="0" borderId="1" xfId="151" applyFont="1" applyBorder="1" applyAlignment="1">
      <alignment horizontal="left" vertical="center" wrapText="1"/>
    </xf>
    <xf numFmtId="0" fontId="28" fillId="0" borderId="1" xfId="151" applyFont="1" applyBorder="1" applyAlignment="1">
      <alignment horizontal="center" vertical="center" wrapText="1"/>
    </xf>
    <xf numFmtId="0" fontId="28" fillId="0" borderId="56" xfId="151" applyFont="1" applyBorder="1" applyAlignment="1">
      <alignment horizontal="center" vertical="center" wrapText="1"/>
    </xf>
    <xf numFmtId="0" fontId="56" fillId="0" borderId="57" xfId="2286" applyFont="1" applyFill="1" applyBorder="1" applyAlignment="1">
      <alignment vertical="center" wrapText="1"/>
    </xf>
    <xf numFmtId="0" fontId="56" fillId="0" borderId="11" xfId="2286" applyFont="1" applyFill="1" applyBorder="1" applyAlignment="1">
      <alignment vertical="center" wrapText="1"/>
    </xf>
    <xf numFmtId="0" fontId="56" fillId="0" borderId="11" xfId="2286" applyFont="1" applyFill="1" applyBorder="1" applyAlignment="1">
      <alignment horizontal="left" vertical="center" wrapText="1"/>
    </xf>
    <xf numFmtId="0" fontId="56" fillId="0" borderId="11" xfId="151" applyFont="1" applyBorder="1" applyAlignment="1">
      <alignment horizontal="left" vertical="center" wrapText="1"/>
    </xf>
    <xf numFmtId="0" fontId="28" fillId="0" borderId="11" xfId="151" applyFont="1" applyBorder="1" applyAlignment="1">
      <alignment horizontal="center" vertical="center" wrapText="1"/>
    </xf>
    <xf numFmtId="0" fontId="28" fillId="0" borderId="59" xfId="151" applyFont="1" applyBorder="1" applyAlignment="1">
      <alignment horizontal="center" vertical="center" wrapText="1"/>
    </xf>
    <xf numFmtId="0" fontId="11" fillId="0" borderId="0" xfId="151" applyFont="1" applyBorder="1" applyAlignment="1">
      <alignment horizontal="left" vertical="center" wrapText="1"/>
    </xf>
    <xf numFmtId="0" fontId="16" fillId="0" borderId="57" xfId="34" applyFont="1" applyBorder="1" applyAlignment="1">
      <alignment horizontal="left" vertical="center"/>
    </xf>
    <xf numFmtId="0" fontId="16" fillId="0" borderId="59" xfId="34" applyFont="1" applyBorder="1" applyAlignment="1">
      <alignment horizontal="left" vertical="center"/>
    </xf>
    <xf numFmtId="0" fontId="17" fillId="0" borderId="57" xfId="34" applyFont="1" applyBorder="1" applyAlignment="1">
      <alignment horizontal="left" vertical="center" wrapText="1"/>
    </xf>
    <xf numFmtId="0" fontId="17" fillId="0" borderId="59" xfId="34" applyFont="1" applyBorder="1" applyAlignment="1">
      <alignment horizontal="left" vertical="center" wrapText="1"/>
    </xf>
    <xf numFmtId="0" fontId="16" fillId="0" borderId="57" xfId="34" applyFont="1" applyBorder="1" applyAlignment="1">
      <alignment horizontal="center" vertical="center"/>
    </xf>
    <xf numFmtId="0" fontId="16" fillId="0" borderId="59" xfId="34" applyFont="1" applyBorder="1" applyAlignment="1">
      <alignment horizontal="center" vertical="center"/>
    </xf>
    <xf numFmtId="0" fontId="16" fillId="0" borderId="62" xfId="34" applyFont="1" applyBorder="1" applyAlignment="1">
      <alignment horizontal="left" vertical="center"/>
    </xf>
    <xf numFmtId="0" fontId="16" fillId="0" borderId="64" xfId="34" applyFont="1" applyBorder="1" applyAlignment="1">
      <alignment horizontal="left" vertical="center"/>
    </xf>
    <xf numFmtId="0" fontId="17" fillId="0" borderId="62" xfId="34" applyFont="1" applyBorder="1" applyAlignment="1">
      <alignment horizontal="left" vertical="center" wrapText="1"/>
    </xf>
    <xf numFmtId="0" fontId="17" fillId="0" borderId="64" xfId="34" applyFont="1" applyBorder="1" applyAlignment="1">
      <alignment horizontal="left" vertical="center" wrapText="1"/>
    </xf>
    <xf numFmtId="0" fontId="16" fillId="0" borderId="62" xfId="34" applyFont="1" applyBorder="1" applyAlignment="1">
      <alignment horizontal="center" vertical="center"/>
    </xf>
    <xf numFmtId="0" fontId="16" fillId="0" borderId="64" xfId="34" applyFont="1" applyBorder="1" applyAlignment="1">
      <alignment horizontal="center" vertical="center"/>
    </xf>
    <xf numFmtId="0" fontId="16" fillId="0" borderId="55" xfId="34" applyFont="1" applyBorder="1" applyAlignment="1">
      <alignment horizontal="left" vertical="center"/>
    </xf>
    <xf numFmtId="0" fontId="16" fillId="0" borderId="56" xfId="34" applyFont="1" applyBorder="1" applyAlignment="1">
      <alignment horizontal="left" vertical="center"/>
    </xf>
    <xf numFmtId="0" fontId="17" fillId="0" borderId="55" xfId="34" applyFont="1" applyBorder="1" applyAlignment="1">
      <alignment horizontal="left" vertical="center"/>
    </xf>
    <xf numFmtId="0" fontId="17" fillId="0" borderId="56" xfId="34" applyFont="1" applyBorder="1" applyAlignment="1">
      <alignment horizontal="left" vertical="center"/>
    </xf>
    <xf numFmtId="0" fontId="16" fillId="0" borderId="55" xfId="34" applyFont="1" applyBorder="1" applyAlignment="1">
      <alignment horizontal="center" vertical="center"/>
    </xf>
    <xf numFmtId="0" fontId="16" fillId="0" borderId="56" xfId="34" applyFont="1" applyBorder="1" applyAlignment="1">
      <alignment horizontal="center" vertical="center"/>
    </xf>
    <xf numFmtId="0" fontId="31" fillId="0" borderId="84" xfId="34" applyFont="1" applyBorder="1" applyAlignment="1">
      <alignment horizontal="center" vertical="center"/>
    </xf>
    <xf numFmtId="0" fontId="31" fillId="0" borderId="65" xfId="34" applyFont="1" applyBorder="1" applyAlignment="1">
      <alignment horizontal="center" vertical="center"/>
    </xf>
    <xf numFmtId="0" fontId="30" fillId="0" borderId="43" xfId="34" applyFont="1" applyBorder="1" applyAlignment="1">
      <alignment horizontal="center" vertical="center"/>
    </xf>
    <xf numFmtId="0" fontId="30" fillId="0" borderId="41" xfId="34" applyFont="1" applyBorder="1" applyAlignment="1">
      <alignment horizontal="center" vertical="center"/>
    </xf>
    <xf numFmtId="0" fontId="30" fillId="0" borderId="40" xfId="34" applyFont="1" applyBorder="1" applyAlignment="1">
      <alignment horizontal="center" vertical="center"/>
    </xf>
    <xf numFmtId="0" fontId="78" fillId="15" borderId="24" xfId="34" applyFont="1" applyFill="1" applyBorder="1" applyAlignment="1">
      <alignment horizontal="center" vertical="center"/>
    </xf>
    <xf numFmtId="0" fontId="78" fillId="15" borderId="25" xfId="34" applyFont="1" applyFill="1" applyBorder="1" applyAlignment="1">
      <alignment horizontal="center" vertical="center"/>
    </xf>
    <xf numFmtId="0" fontId="78" fillId="15" borderId="26" xfId="34" applyFont="1" applyFill="1" applyBorder="1" applyAlignment="1">
      <alignment horizontal="center" vertical="center"/>
    </xf>
    <xf numFmtId="0" fontId="17" fillId="0" borderId="1" xfId="34" applyFont="1" applyFill="1" applyBorder="1" applyAlignment="1">
      <alignment vertical="center" wrapText="1"/>
    </xf>
    <xf numFmtId="0" fontId="17" fillId="0" borderId="13" xfId="34" applyFont="1" applyFill="1" applyBorder="1" applyAlignment="1">
      <alignment vertical="center" wrapText="1"/>
    </xf>
    <xf numFmtId="0" fontId="79" fillId="15" borderId="51" xfId="34" applyFont="1" applyFill="1" applyBorder="1" applyAlignment="1">
      <alignment horizontal="center" vertical="center"/>
    </xf>
    <xf numFmtId="0" fontId="66" fillId="14" borderId="116" xfId="34" applyFont="1" applyFill="1" applyBorder="1" applyAlignment="1">
      <alignment horizontal="center" vertical="center" wrapText="1"/>
    </xf>
    <xf numFmtId="0" fontId="66" fillId="14" borderId="117" xfId="34" applyFont="1" applyFill="1" applyBorder="1" applyAlignment="1">
      <alignment horizontal="center" vertical="center" wrapText="1"/>
    </xf>
    <xf numFmtId="0" fontId="66" fillId="14" borderId="89" xfId="34" applyFont="1" applyFill="1" applyBorder="1" applyAlignment="1">
      <alignment horizontal="center" vertical="center" wrapText="1"/>
    </xf>
    <xf numFmtId="0" fontId="66" fillId="14" borderId="22" xfId="34" applyFont="1" applyFill="1" applyBorder="1" applyAlignment="1">
      <alignment horizontal="center" vertical="center" wrapText="1"/>
    </xf>
    <xf numFmtId="0" fontId="66" fillId="14" borderId="16" xfId="34" applyFont="1" applyFill="1" applyBorder="1" applyAlignment="1">
      <alignment horizontal="center" vertical="center" wrapText="1"/>
    </xf>
    <xf numFmtId="0" fontId="66" fillId="14" borderId="5" xfId="34" applyFont="1" applyFill="1" applyBorder="1" applyAlignment="1">
      <alignment horizontal="center" vertical="center" wrapText="1"/>
    </xf>
    <xf numFmtId="0" fontId="13" fillId="14" borderId="89" xfId="34" applyFont="1" applyFill="1" applyBorder="1" applyAlignment="1">
      <alignment horizontal="center" vertical="center" wrapText="1"/>
    </xf>
    <xf numFmtId="0" fontId="13" fillId="14" borderId="91" xfId="34" applyFont="1" applyFill="1" applyBorder="1" applyAlignment="1">
      <alignment horizontal="center" vertical="center"/>
    </xf>
    <xf numFmtId="0" fontId="13" fillId="14" borderId="114" xfId="34" applyFont="1" applyFill="1" applyBorder="1" applyAlignment="1">
      <alignment horizontal="center" vertical="center"/>
    </xf>
    <xf numFmtId="0" fontId="11" fillId="14" borderId="5" xfId="34" applyFont="1" applyFill="1" applyBorder="1" applyAlignment="1">
      <alignment horizontal="center" vertical="center" wrapText="1"/>
    </xf>
    <xf numFmtId="0" fontId="66" fillId="14" borderId="110" xfId="34" applyFont="1" applyFill="1" applyBorder="1" applyAlignment="1">
      <alignment horizontal="center" vertical="center" wrapText="1"/>
    </xf>
    <xf numFmtId="0" fontId="11" fillId="14" borderId="120" xfId="34" applyFont="1" applyFill="1" applyBorder="1" applyAlignment="1">
      <alignment horizontal="center" vertical="center" wrapText="1"/>
    </xf>
    <xf numFmtId="0" fontId="27" fillId="14" borderId="16" xfId="34" applyFont="1" applyFill="1" applyBorder="1" applyAlignment="1">
      <alignment horizontal="center" vertical="center" wrapText="1"/>
    </xf>
    <xf numFmtId="0" fontId="27" fillId="14" borderId="5" xfId="34" applyFont="1" applyFill="1" applyBorder="1" applyAlignment="1">
      <alignment horizontal="center" vertical="center" wrapText="1"/>
    </xf>
    <xf numFmtId="0" fontId="27" fillId="14" borderId="89" xfId="34" applyFont="1" applyFill="1" applyBorder="1" applyAlignment="1">
      <alignment horizontal="center" vertical="center" wrapText="1"/>
    </xf>
    <xf numFmtId="0" fontId="27" fillId="14" borderId="114" xfId="34" applyFont="1" applyFill="1" applyBorder="1" applyAlignment="1">
      <alignment horizontal="center" vertical="center" wrapText="1"/>
    </xf>
    <xf numFmtId="0" fontId="27" fillId="14" borderId="22" xfId="34" applyFont="1" applyFill="1" applyBorder="1" applyAlignment="1">
      <alignment horizontal="center" vertical="center" wrapText="1"/>
    </xf>
    <xf numFmtId="0" fontId="27" fillId="14" borderId="23" xfId="34" applyFont="1" applyFill="1" applyBorder="1" applyAlignment="1">
      <alignment horizontal="center" vertical="center" wrapText="1"/>
    </xf>
    <xf numFmtId="0" fontId="27" fillId="14" borderId="61" xfId="34" applyFont="1" applyFill="1" applyBorder="1" applyAlignment="1">
      <alignment horizontal="center" vertical="center"/>
    </xf>
    <xf numFmtId="0" fontId="27" fillId="14" borderId="98" xfId="34" applyFont="1" applyFill="1" applyBorder="1" applyAlignment="1">
      <alignment horizontal="center" vertical="center"/>
    </xf>
    <xf numFmtId="0" fontId="27" fillId="14" borderId="113" xfId="34" applyFont="1" applyFill="1" applyBorder="1" applyAlignment="1">
      <alignment horizontal="center" vertical="center" wrapText="1"/>
    </xf>
    <xf numFmtId="0" fontId="27" fillId="14" borderId="130" xfId="34" applyFont="1" applyFill="1" applyBorder="1" applyAlignment="1">
      <alignment horizontal="center" vertical="center" wrapText="1"/>
    </xf>
    <xf numFmtId="0" fontId="17" fillId="0" borderId="24" xfId="34" applyFont="1" applyFill="1" applyBorder="1" applyAlignment="1">
      <alignment horizontal="left" vertical="center" wrapText="1"/>
    </xf>
    <xf numFmtId="0" fontId="17" fillId="0" borderId="26" xfId="34" applyFont="1" applyFill="1" applyBorder="1" applyAlignment="1">
      <alignment horizontal="left" vertical="center" wrapText="1"/>
    </xf>
    <xf numFmtId="0" fontId="27" fillId="14" borderId="116" xfId="34" applyFont="1" applyFill="1" applyBorder="1" applyAlignment="1">
      <alignment horizontal="center" vertical="center" wrapText="1"/>
    </xf>
    <xf numFmtId="0" fontId="27" fillId="14" borderId="54" xfId="34" applyFont="1" applyFill="1" applyBorder="1" applyAlignment="1">
      <alignment horizontal="center" vertical="center" wrapText="1"/>
    </xf>
    <xf numFmtId="0" fontId="27" fillId="14" borderId="30" xfId="34" applyFont="1" applyFill="1" applyBorder="1" applyAlignment="1">
      <alignment horizontal="center" vertical="center" wrapText="1"/>
    </xf>
    <xf numFmtId="0" fontId="17" fillId="0" borderId="24" xfId="34" applyFont="1" applyFill="1" applyBorder="1" applyAlignment="1">
      <alignment vertical="center" wrapText="1"/>
    </xf>
    <xf numFmtId="0" fontId="17" fillId="0" borderId="26" xfId="34" applyFont="1" applyFill="1" applyBorder="1" applyAlignment="1">
      <alignment vertical="center" wrapText="1"/>
    </xf>
    <xf numFmtId="0" fontId="27" fillId="14" borderId="92" xfId="34" applyFont="1" applyFill="1" applyBorder="1" applyAlignment="1">
      <alignment horizontal="center" vertical="center" wrapText="1"/>
    </xf>
    <xf numFmtId="0" fontId="27" fillId="14" borderId="115" xfId="34" applyFont="1" applyFill="1" applyBorder="1" applyAlignment="1">
      <alignment horizontal="center" vertical="center" wrapText="1"/>
    </xf>
    <xf numFmtId="0" fontId="17" fillId="0" borderId="1" xfId="34" applyFont="1" applyFill="1" applyBorder="1" applyAlignment="1">
      <alignment horizontal="left" vertical="center" wrapText="1"/>
    </xf>
    <xf numFmtId="14" fontId="30" fillId="0" borderId="0" xfId="0" applyNumberFormat="1" applyFont="1" applyBorder="1" applyAlignment="1" applyProtection="1">
      <alignment horizontal="right" vertical="center"/>
    </xf>
    <xf numFmtId="0" fontId="27" fillId="14" borderId="132" xfId="34" applyFont="1" applyFill="1" applyBorder="1" applyAlignment="1">
      <alignment horizontal="center" vertical="center" wrapText="1"/>
    </xf>
    <xf numFmtId="0" fontId="28" fillId="0" borderId="1" xfId="0" applyFont="1" applyBorder="1" applyAlignment="1">
      <alignment vertical="center"/>
    </xf>
    <xf numFmtId="0" fontId="28" fillId="0" borderId="24"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vertical="center" wrapText="1"/>
    </xf>
    <xf numFmtId="0" fontId="27" fillId="12" borderId="1" xfId="0" applyFont="1" applyFill="1" applyBorder="1" applyAlignment="1">
      <alignment horizontal="center" vertical="center" wrapText="1"/>
    </xf>
    <xf numFmtId="0" fontId="27" fillId="0" borderId="43" xfId="0" applyFont="1" applyBorder="1" applyAlignment="1">
      <alignment horizontal="center" vertical="center"/>
    </xf>
    <xf numFmtId="0" fontId="27" fillId="0" borderId="41" xfId="0" applyFont="1" applyBorder="1" applyAlignment="1">
      <alignment horizontal="center" vertical="center"/>
    </xf>
    <xf numFmtId="0" fontId="32" fillId="0" borderId="51" xfId="94" applyFont="1" applyBorder="1" applyAlignment="1">
      <alignment horizontal="center"/>
    </xf>
    <xf numFmtId="0" fontId="37" fillId="0" borderId="0" xfId="0" applyFont="1" applyBorder="1" applyAlignment="1" applyProtection="1">
      <alignment horizontal="center" vertical="top"/>
    </xf>
    <xf numFmtId="0" fontId="32" fillId="12" borderId="43" xfId="94" applyFont="1" applyFill="1" applyBorder="1" applyAlignment="1" applyProtection="1">
      <alignment horizontal="center" vertical="center"/>
    </xf>
    <xf numFmtId="0" fontId="32" fillId="12" borderId="41" xfId="94" applyFont="1" applyFill="1" applyBorder="1" applyAlignment="1" applyProtection="1">
      <alignment horizontal="center" vertical="center"/>
    </xf>
    <xf numFmtId="0" fontId="34" fillId="0" borderId="84" xfId="94" applyFont="1" applyBorder="1" applyAlignment="1" applyProtection="1">
      <alignment horizontal="left" vertical="center"/>
    </xf>
    <xf numFmtId="0" fontId="34" fillId="0" borderId="106" xfId="94" applyFont="1" applyBorder="1" applyAlignment="1" applyProtection="1">
      <alignment horizontal="left" vertical="center"/>
    </xf>
    <xf numFmtId="0" fontId="34" fillId="0" borderId="84" xfId="94" applyFont="1" applyBorder="1" applyAlignment="1" applyProtection="1">
      <alignment horizontal="center" vertical="center"/>
      <protection locked="0"/>
    </xf>
    <xf numFmtId="0" fontId="34" fillId="0" borderId="65" xfId="94" applyFont="1" applyBorder="1" applyAlignment="1" applyProtection="1">
      <alignment horizontal="center" vertical="center"/>
      <protection locked="0"/>
    </xf>
    <xf numFmtId="0" fontId="34" fillId="0" borderId="106" xfId="94" applyFont="1" applyBorder="1" applyAlignment="1" applyProtection="1">
      <alignment horizontal="center" vertical="center"/>
      <protection locked="0"/>
    </xf>
    <xf numFmtId="0" fontId="34" fillId="0" borderId="57" xfId="94" applyFont="1" applyBorder="1" applyAlignment="1" applyProtection="1">
      <alignment horizontal="center" vertical="center"/>
      <protection locked="0"/>
    </xf>
    <xf numFmtId="0" fontId="34" fillId="0" borderId="11" xfId="94" applyFont="1" applyBorder="1" applyAlignment="1" applyProtection="1">
      <alignment horizontal="center" vertical="center"/>
      <protection locked="0"/>
    </xf>
    <xf numFmtId="0" fontId="34" fillId="0" borderId="59" xfId="94" applyFont="1" applyBorder="1" applyAlignment="1" applyProtection="1">
      <alignment horizontal="center" vertical="center"/>
      <protection locked="0"/>
    </xf>
    <xf numFmtId="0" fontId="34" fillId="0" borderId="65" xfId="94" applyFont="1" applyBorder="1" applyAlignment="1" applyProtection="1">
      <alignment horizontal="justify" vertical="center"/>
      <protection locked="0"/>
    </xf>
    <xf numFmtId="0" fontId="34" fillId="0" borderId="106" xfId="94" applyFont="1" applyBorder="1" applyAlignment="1" applyProtection="1">
      <alignment horizontal="justify" vertical="center"/>
      <protection locked="0"/>
    </xf>
    <xf numFmtId="0" fontId="34" fillId="0" borderId="25" xfId="94" applyFont="1" applyBorder="1" applyAlignment="1" applyProtection="1">
      <alignment horizontal="justify" vertical="center"/>
      <protection locked="0"/>
    </xf>
    <xf numFmtId="0" fontId="34" fillId="0" borderId="101" xfId="94" applyFont="1" applyBorder="1" applyAlignment="1" applyProtection="1">
      <alignment horizontal="justify" vertical="center"/>
      <protection locked="0"/>
    </xf>
    <xf numFmtId="0" fontId="34" fillId="0" borderId="83" xfId="94" applyFont="1" applyBorder="1" applyAlignment="1" applyProtection="1">
      <alignment horizontal="left" vertical="center"/>
    </xf>
    <xf numFmtId="0" fontId="34" fillId="0" borderId="101" xfId="94" applyFont="1" applyBorder="1" applyAlignment="1" applyProtection="1">
      <alignment horizontal="left" vertical="center"/>
    </xf>
    <xf numFmtId="0" fontId="34" fillId="0" borderId="83" xfId="94" applyFont="1" applyBorder="1" applyAlignment="1" applyProtection="1">
      <alignment horizontal="center" vertical="center"/>
      <protection locked="0"/>
    </xf>
    <xf numFmtId="0" fontId="34" fillId="0" borderId="25" xfId="94" applyFont="1" applyBorder="1" applyAlignment="1" applyProtection="1">
      <alignment horizontal="center" vertical="center"/>
      <protection locked="0"/>
    </xf>
    <xf numFmtId="0" fontId="34" fillId="0" borderId="101" xfId="94" applyFont="1" applyBorder="1" applyAlignment="1" applyProtection="1">
      <alignment horizontal="center" vertical="center"/>
      <protection locked="0"/>
    </xf>
    <xf numFmtId="0" fontId="34" fillId="0" borderId="55" xfId="94" applyFont="1" applyBorder="1" applyAlignment="1" applyProtection="1">
      <alignment horizontal="center" vertical="center"/>
      <protection locked="0"/>
    </xf>
    <xf numFmtId="0" fontId="34" fillId="0" borderId="1" xfId="94" applyFont="1" applyBorder="1" applyAlignment="1" applyProtection="1">
      <alignment horizontal="center" vertical="center"/>
      <protection locked="0"/>
    </xf>
    <xf numFmtId="0" fontId="34" fillId="0" borderId="56" xfId="94" applyFont="1" applyBorder="1" applyAlignment="1" applyProtection="1">
      <alignment horizontal="center" vertical="center"/>
      <protection locked="0"/>
    </xf>
    <xf numFmtId="0" fontId="32" fillId="12" borderId="22" xfId="94" applyFont="1" applyFill="1" applyBorder="1" applyAlignment="1" applyProtection="1">
      <alignment horizontal="center" vertical="center" textRotation="90"/>
    </xf>
    <xf numFmtId="0" fontId="32" fillId="12" borderId="118" xfId="94" applyFont="1" applyFill="1" applyBorder="1" applyAlignment="1" applyProtection="1">
      <alignment horizontal="center" vertical="center" textRotation="90"/>
    </xf>
    <xf numFmtId="0" fontId="34" fillId="0" borderId="86" xfId="94" applyFont="1" applyBorder="1" applyAlignment="1" applyProtection="1">
      <alignment horizontal="center" vertical="center"/>
      <protection locked="0"/>
    </xf>
    <xf numFmtId="0" fontId="34" fillId="0" borderId="99" xfId="94" applyFont="1" applyBorder="1" applyAlignment="1" applyProtection="1">
      <alignment horizontal="center" vertical="center"/>
      <protection locked="0"/>
    </xf>
    <xf numFmtId="0" fontId="34" fillId="0" borderId="100" xfId="94" applyFont="1" applyBorder="1" applyAlignment="1" applyProtection="1">
      <alignment horizontal="center" vertical="center"/>
      <protection locked="0"/>
    </xf>
    <xf numFmtId="0" fontId="34" fillId="0" borderId="62" xfId="94" applyFont="1" applyBorder="1" applyAlignment="1" applyProtection="1">
      <alignment horizontal="center" vertical="center"/>
      <protection locked="0"/>
    </xf>
    <xf numFmtId="0" fontId="34" fillId="0" borderId="63" xfId="94" applyFont="1" applyBorder="1" applyAlignment="1" applyProtection="1">
      <alignment horizontal="center" vertical="center"/>
      <protection locked="0"/>
    </xf>
    <xf numFmtId="0" fontId="34" fillId="0" borderId="64" xfId="94" applyFont="1" applyBorder="1" applyAlignment="1" applyProtection="1">
      <alignment horizontal="center" vertical="center"/>
      <protection locked="0"/>
    </xf>
    <xf numFmtId="0" fontId="32" fillId="12" borderId="66" xfId="94" applyFont="1" applyFill="1" applyBorder="1" applyAlignment="1" applyProtection="1">
      <alignment horizontal="center" vertical="center"/>
    </xf>
    <xf numFmtId="0" fontId="32" fillId="12" borderId="85" xfId="94" applyFont="1" applyFill="1" applyBorder="1" applyAlignment="1" applyProtection="1">
      <alignment horizontal="center" vertical="center"/>
    </xf>
    <xf numFmtId="0" fontId="32" fillId="12" borderId="119" xfId="94" applyFont="1" applyFill="1" applyBorder="1" applyAlignment="1" applyProtection="1">
      <alignment horizontal="center" vertical="center"/>
    </xf>
    <xf numFmtId="0" fontId="39" fillId="11" borderId="43" xfId="0" applyFont="1" applyFill="1" applyBorder="1" applyAlignment="1" applyProtection="1">
      <alignment horizontal="center" vertical="center"/>
    </xf>
    <xf numFmtId="0" fontId="39" fillId="11" borderId="40" xfId="0" applyFont="1" applyFill="1" applyBorder="1" applyAlignment="1" applyProtection="1">
      <alignment horizontal="center" vertical="center"/>
    </xf>
    <xf numFmtId="0" fontId="39" fillId="11" borderId="41" xfId="0" applyFont="1" applyFill="1" applyBorder="1" applyAlignment="1" applyProtection="1">
      <alignment horizontal="center" vertical="center"/>
    </xf>
    <xf numFmtId="0" fontId="34" fillId="0" borderId="99" xfId="94" applyFont="1" applyBorder="1" applyAlignment="1" applyProtection="1">
      <alignment horizontal="justify" vertical="center"/>
      <protection locked="0"/>
    </xf>
    <xf numFmtId="0" fontId="34" fillId="0" borderId="100" xfId="94" applyFont="1" applyBorder="1" applyAlignment="1" applyProtection="1">
      <alignment horizontal="justify" vertical="center"/>
      <protection locked="0"/>
    </xf>
    <xf numFmtId="0" fontId="32" fillId="12" borderId="40" xfId="94" applyFont="1" applyFill="1" applyBorder="1" applyAlignment="1" applyProtection="1">
      <alignment horizontal="center" vertical="center"/>
    </xf>
    <xf numFmtId="0" fontId="37" fillId="0" borderId="0" xfId="0" applyFont="1" applyAlignment="1">
      <alignment horizontal="center" vertical="center"/>
    </xf>
    <xf numFmtId="0" fontId="28" fillId="0" borderId="93" xfId="0" applyFont="1" applyBorder="1" applyAlignment="1">
      <alignment horizontal="left" vertical="center" wrapText="1"/>
    </xf>
    <xf numFmtId="0" fontId="30" fillId="12" borderId="127" xfId="0" applyFont="1" applyFill="1" applyBorder="1" applyAlignment="1">
      <alignment horizontal="center" vertical="center"/>
    </xf>
    <xf numFmtId="0" fontId="31" fillId="0" borderId="33" xfId="0" applyFont="1" applyBorder="1" applyAlignment="1">
      <alignment vertical="center"/>
    </xf>
    <xf numFmtId="0" fontId="31" fillId="0" borderId="1" xfId="0" applyFont="1" applyBorder="1" applyAlignment="1">
      <alignment vertical="center"/>
    </xf>
    <xf numFmtId="0" fontId="31" fillId="0" borderId="11" xfId="0" applyFont="1" applyBorder="1" applyAlignment="1">
      <alignment horizontal="left" vertical="center"/>
    </xf>
    <xf numFmtId="0" fontId="31" fillId="0" borderId="33" xfId="0" applyFont="1" applyBorder="1" applyAlignment="1">
      <alignment horizontal="center" vertical="center" wrapText="1"/>
    </xf>
    <xf numFmtId="0" fontId="31" fillId="0" borderId="33" xfId="0" applyFont="1" applyBorder="1" applyAlignment="1">
      <alignment horizontal="center" vertical="center"/>
    </xf>
    <xf numFmtId="0" fontId="31" fillId="0" borderId="109" xfId="0" applyFont="1" applyBorder="1" applyAlignment="1">
      <alignment horizontal="center" vertical="center"/>
    </xf>
    <xf numFmtId="0" fontId="31" fillId="0" borderId="11" xfId="0" applyFont="1" applyBorder="1" applyAlignment="1">
      <alignment horizontal="center" vertical="center" wrapText="1"/>
    </xf>
    <xf numFmtId="0" fontId="31" fillId="0" borderId="11" xfId="0" applyFont="1" applyBorder="1" applyAlignment="1">
      <alignment horizontal="center" vertical="center"/>
    </xf>
    <xf numFmtId="0" fontId="31" fillId="0" borderId="59" xfId="0" applyFont="1" applyBorder="1" applyAlignment="1">
      <alignment horizontal="center" vertical="center"/>
    </xf>
    <xf numFmtId="0" fontId="27" fillId="0" borderId="0" xfId="0" applyFont="1" applyFill="1" applyBorder="1" applyAlignment="1">
      <alignment horizontal="left"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56" xfId="0" applyFont="1" applyBorder="1" applyAlignment="1">
      <alignment horizontal="center" vertical="center"/>
    </xf>
    <xf numFmtId="4" fontId="16" fillId="0" borderId="0" xfId="0" applyNumberFormat="1" applyFont="1" applyFill="1" applyBorder="1" applyAlignment="1">
      <alignment horizontal="center" vertical="center" wrapText="1"/>
    </xf>
    <xf numFmtId="0" fontId="30" fillId="12" borderId="104" xfId="0" applyFont="1" applyFill="1" applyBorder="1" applyAlignment="1">
      <alignment horizontal="center" vertical="center"/>
    </xf>
    <xf numFmtId="0" fontId="36" fillId="11" borderId="43" xfId="0" applyFont="1" applyFill="1" applyBorder="1" applyAlignment="1">
      <alignment horizontal="center" vertical="center"/>
    </xf>
    <xf numFmtId="0" fontId="36" fillId="11" borderId="40" xfId="0" applyFont="1" applyFill="1" applyBorder="1" applyAlignment="1">
      <alignment horizontal="center" vertical="center"/>
    </xf>
    <xf numFmtId="0" fontId="36" fillId="11" borderId="41" xfId="0"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1" fillId="16" borderId="83" xfId="212" applyFont="1" applyFill="1" applyBorder="1" applyAlignment="1" applyProtection="1">
      <alignment horizontal="justify" vertical="center" wrapText="1"/>
      <protection locked="0"/>
    </xf>
    <xf numFmtId="0" fontId="63" fillId="16" borderId="83" xfId="212" applyFont="1" applyFill="1" applyBorder="1" applyAlignment="1" applyProtection="1">
      <alignment horizontal="justify" vertical="center" wrapText="1"/>
      <protection locked="0"/>
    </xf>
    <xf numFmtId="0" fontId="61" fillId="16" borderId="80" xfId="34" applyFont="1" applyFill="1" applyBorder="1" applyAlignment="1" applyProtection="1">
      <alignment horizontal="center" vertical="center" wrapText="1"/>
      <protection locked="0"/>
    </xf>
    <xf numFmtId="1" fontId="28" fillId="16" borderId="26" xfId="212" applyNumberFormat="1" applyFont="1" applyFill="1" applyBorder="1" applyAlignment="1" applyProtection="1">
      <alignment vertical="center" wrapText="1"/>
      <protection locked="0"/>
    </xf>
    <xf numFmtId="1" fontId="28" fillId="16" borderId="24" xfId="34" applyNumberFormat="1" applyFont="1" applyFill="1" applyBorder="1" applyAlignment="1" applyProtection="1">
      <alignment vertical="center" wrapText="1"/>
      <protection locked="0"/>
    </xf>
    <xf numFmtId="176" fontId="16" fillId="16" borderId="135" xfId="0" applyNumberFormat="1" applyFont="1" applyFill="1" applyBorder="1" applyAlignment="1" applyProtection="1">
      <alignment horizontal="center" vertical="center" wrapText="1"/>
      <protection locked="0"/>
    </xf>
    <xf numFmtId="0" fontId="59" fillId="16" borderId="83" xfId="34" applyFont="1" applyFill="1" applyBorder="1" applyAlignment="1" applyProtection="1">
      <alignment horizontal="center" vertical="center" wrapText="1"/>
      <protection locked="0"/>
    </xf>
    <xf numFmtId="0" fontId="84" fillId="16" borderId="83" xfId="212" applyFont="1" applyFill="1" applyBorder="1" applyAlignment="1" applyProtection="1">
      <alignment horizontal="center" vertical="center" wrapText="1"/>
      <protection locked="0"/>
    </xf>
    <xf numFmtId="16" fontId="61" fillId="16" borderId="55" xfId="34" applyNumberFormat="1" applyFont="1" applyFill="1" applyBorder="1" applyAlignment="1" applyProtection="1">
      <alignment horizontal="center" vertical="center"/>
      <protection locked="0"/>
    </xf>
    <xf numFmtId="16" fontId="61" fillId="16" borderId="56" xfId="34" applyNumberFormat="1" applyFont="1" applyFill="1" applyBorder="1" applyAlignment="1" applyProtection="1">
      <alignment horizontal="center" vertical="center"/>
      <protection locked="0"/>
    </xf>
    <xf numFmtId="176" fontId="11" fillId="16" borderId="26" xfId="95" applyNumberFormat="1" applyFont="1" applyFill="1" applyBorder="1" applyAlignment="1" applyProtection="1">
      <alignment horizontal="center" vertical="center"/>
    </xf>
    <xf numFmtId="176" fontId="11" fillId="16" borderId="25" xfId="95" applyNumberFormat="1" applyFont="1" applyFill="1" applyBorder="1" applyAlignment="1" applyProtection="1">
      <alignment horizontal="center" vertical="center"/>
    </xf>
    <xf numFmtId="1" fontId="62" fillId="16" borderId="26" xfId="212" applyNumberFormat="1" applyFont="1" applyFill="1" applyBorder="1" applyAlignment="1" applyProtection="1">
      <alignment vertical="center" wrapText="1"/>
      <protection locked="0"/>
    </xf>
    <xf numFmtId="1" fontId="62" fillId="16" borderId="24" xfId="34" applyNumberFormat="1" applyFont="1" applyFill="1" applyBorder="1" applyAlignment="1" applyProtection="1">
      <alignment vertical="center" wrapText="1"/>
      <protection locked="0"/>
    </xf>
    <xf numFmtId="0" fontId="59" fillId="16" borderId="83" xfId="212" applyFont="1" applyFill="1" applyBorder="1" applyAlignment="1" applyProtection="1">
      <alignment horizontal="center" vertical="center" wrapText="1"/>
      <protection locked="0"/>
    </xf>
    <xf numFmtId="176" fontId="63" fillId="16" borderId="26" xfId="34" applyNumberFormat="1" applyFont="1" applyFill="1" applyBorder="1" applyAlignment="1" applyProtection="1">
      <alignment horizontal="center" vertical="center" wrapText="1"/>
      <protection locked="0"/>
    </xf>
    <xf numFmtId="176" fontId="63" fillId="16" borderId="1" xfId="95" applyNumberFormat="1" applyFont="1" applyFill="1" applyBorder="1" applyAlignment="1" applyProtection="1">
      <alignment horizontal="center" vertical="center"/>
    </xf>
    <xf numFmtId="176" fontId="63" fillId="16" borderId="0" xfId="34" applyNumberFormat="1" applyFont="1" applyFill="1" applyBorder="1" applyAlignment="1" applyProtection="1">
      <alignment vertical="center"/>
      <protection locked="0"/>
    </xf>
    <xf numFmtId="176" fontId="63" fillId="16" borderId="1" xfId="34" applyNumberFormat="1" applyFont="1" applyFill="1" applyBorder="1" applyAlignment="1" applyProtection="1">
      <alignment horizontal="center" vertical="center" wrapText="1"/>
      <protection locked="0"/>
    </xf>
    <xf numFmtId="176" fontId="63" fillId="16" borderId="1" xfId="34" applyNumberFormat="1" applyFont="1" applyFill="1" applyBorder="1" applyAlignment="1" applyProtection="1">
      <alignment vertical="center"/>
      <protection locked="0"/>
    </xf>
    <xf numFmtId="176" fontId="63" fillId="16" borderId="24" xfId="34" applyNumberFormat="1" applyFont="1" applyFill="1" applyBorder="1" applyAlignment="1" applyProtection="1">
      <alignment vertical="center"/>
      <protection locked="0"/>
    </xf>
    <xf numFmtId="0" fontId="63" fillId="16" borderId="83" xfId="34" applyFont="1" applyFill="1" applyBorder="1" applyAlignment="1">
      <alignment horizontal="justify" vertical="center" wrapText="1"/>
    </xf>
    <xf numFmtId="0" fontId="84" fillId="16" borderId="83" xfId="34" applyFont="1" applyFill="1" applyBorder="1" applyAlignment="1" applyProtection="1">
      <alignment horizontal="center" vertical="center"/>
      <protection locked="0"/>
    </xf>
    <xf numFmtId="176" fontId="63" fillId="16" borderId="24" xfId="34" applyNumberFormat="1" applyFont="1" applyFill="1" applyBorder="1" applyAlignment="1" applyProtection="1">
      <alignment horizontal="center" vertical="center" wrapText="1"/>
      <protection locked="0"/>
    </xf>
    <xf numFmtId="176" fontId="63" fillId="16" borderId="1" xfId="34" applyNumberFormat="1" applyFont="1" applyFill="1" applyBorder="1" applyAlignment="1" applyProtection="1">
      <alignment horizontal="center" vertical="center"/>
      <protection locked="0"/>
    </xf>
    <xf numFmtId="176" fontId="63" fillId="16" borderId="24" xfId="34" applyNumberFormat="1" applyFont="1" applyFill="1" applyBorder="1" applyAlignment="1" applyProtection="1">
      <alignment horizontal="center" vertical="center"/>
      <protection locked="0"/>
    </xf>
    <xf numFmtId="176" fontId="11" fillId="16" borderId="26" xfId="34" applyNumberFormat="1" applyFont="1" applyFill="1" applyBorder="1" applyAlignment="1" applyProtection="1">
      <alignment vertical="center"/>
      <protection locked="0"/>
    </xf>
    <xf numFmtId="176" fontId="11" fillId="16" borderId="1" xfId="34" applyNumberFormat="1" applyFont="1" applyFill="1" applyBorder="1" applyAlignment="1" applyProtection="1">
      <alignment horizontal="center" vertical="center"/>
      <protection locked="0"/>
    </xf>
    <xf numFmtId="176" fontId="11" fillId="16" borderId="1" xfId="34" applyNumberFormat="1" applyFont="1" applyFill="1" applyBorder="1" applyAlignment="1" applyProtection="1">
      <alignment vertical="center"/>
      <protection locked="0"/>
    </xf>
    <xf numFmtId="176" fontId="11" fillId="16" borderId="0" xfId="34" applyNumberFormat="1" applyFont="1" applyFill="1" applyBorder="1" applyAlignment="1" applyProtection="1">
      <alignment vertical="center"/>
      <protection locked="0"/>
    </xf>
    <xf numFmtId="16" fontId="61" fillId="16" borderId="55" xfId="2265" applyNumberFormat="1" applyFont="1" applyFill="1" applyBorder="1" applyAlignment="1">
      <alignment horizontal="center" vertical="center"/>
    </xf>
    <xf numFmtId="16" fontId="61" fillId="16" borderId="56" xfId="2265" applyNumberFormat="1" applyFont="1" applyFill="1" applyBorder="1" applyAlignment="1">
      <alignment horizontal="center" vertical="center"/>
    </xf>
    <xf numFmtId="176" fontId="63" fillId="16" borderId="26" xfId="0" applyNumberFormat="1" applyFont="1" applyFill="1" applyBorder="1" applyAlignment="1">
      <alignment horizontal="center" vertical="center"/>
    </xf>
    <xf numFmtId="176" fontId="72" fillId="16" borderId="1" xfId="0" applyNumberFormat="1" applyFont="1" applyFill="1" applyBorder="1" applyAlignment="1">
      <alignment horizontal="center" vertical="center"/>
    </xf>
    <xf numFmtId="176" fontId="72" fillId="16" borderId="24" xfId="0" applyNumberFormat="1" applyFont="1" applyFill="1" applyBorder="1" applyAlignment="1">
      <alignment horizontal="center" vertical="center"/>
    </xf>
    <xf numFmtId="0" fontId="59" fillId="16" borderId="83" xfId="2265" applyFont="1" applyFill="1" applyBorder="1" applyAlignment="1">
      <alignment horizontal="center" vertical="center" wrapText="1"/>
    </xf>
    <xf numFmtId="0" fontId="84" fillId="16" borderId="83" xfId="2265" applyFont="1" applyFill="1" applyBorder="1" applyAlignment="1">
      <alignment horizontal="center" vertical="center"/>
    </xf>
    <xf numFmtId="176" fontId="63" fillId="16" borderId="26" xfId="34" applyNumberFormat="1" applyFont="1" applyFill="1" applyBorder="1" applyAlignment="1" applyProtection="1">
      <alignment vertical="center"/>
      <protection locked="0"/>
    </xf>
    <xf numFmtId="176" fontId="63" fillId="16" borderId="1" xfId="0" applyNumberFormat="1" applyFont="1" applyFill="1" applyBorder="1" applyAlignment="1">
      <alignment horizontal="center" vertical="center"/>
    </xf>
    <xf numFmtId="176" fontId="63" fillId="16" borderId="24" xfId="0" applyNumberFormat="1" applyFont="1" applyFill="1" applyBorder="1" applyAlignment="1">
      <alignment horizontal="center" vertical="center"/>
    </xf>
    <xf numFmtId="0" fontId="63" fillId="16" borderId="83" xfId="2265" applyFont="1" applyFill="1" applyBorder="1" applyAlignment="1">
      <alignment horizontal="justify" vertical="center" wrapText="1"/>
    </xf>
  </cellXfs>
  <cellStyles count="2290">
    <cellStyle name="Euro" xfId="1" xr:uid="{00000000-0005-0000-0000-000000000000}"/>
    <cellStyle name="Euro 2" xfId="227" xr:uid="{00000000-0005-0000-0000-000001000000}"/>
    <cellStyle name="Euro 3" xfId="2207" xr:uid="{00000000-0005-0000-0000-000002000000}"/>
    <cellStyle name="Euro 4" xfId="2206" xr:uid="{00000000-0005-0000-0000-000003000000}"/>
    <cellStyle name="Millares" xfId="2" builtinId="3"/>
    <cellStyle name="Millares 10" xfId="3" xr:uid="{00000000-0005-0000-0000-000005000000}"/>
    <cellStyle name="Millares 10 2" xfId="4" xr:uid="{00000000-0005-0000-0000-000006000000}"/>
    <cellStyle name="Millares 10 2 2" xfId="5" xr:uid="{00000000-0005-0000-0000-000007000000}"/>
    <cellStyle name="Millares 10 2 2 2" xfId="6" xr:uid="{00000000-0005-0000-0000-000008000000}"/>
    <cellStyle name="Millares 10 2 2 2 2" xfId="7" xr:uid="{00000000-0005-0000-0000-000009000000}"/>
    <cellStyle name="Millares 10 2 2 2 2 2" xfId="228" xr:uid="{00000000-0005-0000-0000-00000A000000}"/>
    <cellStyle name="Millares 10 2 2 2 2 3" xfId="229" xr:uid="{00000000-0005-0000-0000-00000B000000}"/>
    <cellStyle name="Millares 10 2 2 2 3" xfId="230" xr:uid="{00000000-0005-0000-0000-00000C000000}"/>
    <cellStyle name="Millares 10 2 2 2 4" xfId="231" xr:uid="{00000000-0005-0000-0000-00000D000000}"/>
    <cellStyle name="Millares 10 2 2 3" xfId="232" xr:uid="{00000000-0005-0000-0000-00000E000000}"/>
    <cellStyle name="Millares 10 2 2 4" xfId="233" xr:uid="{00000000-0005-0000-0000-00000F000000}"/>
    <cellStyle name="Millares 10 2 3" xfId="234" xr:uid="{00000000-0005-0000-0000-000010000000}"/>
    <cellStyle name="Millares 10 2 4" xfId="235" xr:uid="{00000000-0005-0000-0000-000011000000}"/>
    <cellStyle name="Millares 10 2 5" xfId="236" xr:uid="{00000000-0005-0000-0000-000012000000}"/>
    <cellStyle name="Millares 10 2 5 2" xfId="237" xr:uid="{00000000-0005-0000-0000-000013000000}"/>
    <cellStyle name="Millares 10 2 5 2 2" xfId="2209" xr:uid="{00000000-0005-0000-0000-000014000000}"/>
    <cellStyle name="Millares 10 2 5 3" xfId="2208" xr:uid="{00000000-0005-0000-0000-000015000000}"/>
    <cellStyle name="Millares 10 3" xfId="8" xr:uid="{00000000-0005-0000-0000-000016000000}"/>
    <cellStyle name="Millares 10 3 2" xfId="9" xr:uid="{00000000-0005-0000-0000-000017000000}"/>
    <cellStyle name="Millares 10 3 2 2" xfId="238" xr:uid="{00000000-0005-0000-0000-000018000000}"/>
    <cellStyle name="Millares 10 3 2 3" xfId="239" xr:uid="{00000000-0005-0000-0000-000019000000}"/>
    <cellStyle name="Millares 10 3 3" xfId="240" xr:uid="{00000000-0005-0000-0000-00001A000000}"/>
    <cellStyle name="Millares 10 3 4" xfId="241" xr:uid="{00000000-0005-0000-0000-00001B000000}"/>
    <cellStyle name="Millares 10 4" xfId="242" xr:uid="{00000000-0005-0000-0000-00001C000000}"/>
    <cellStyle name="Millares 10 4 2" xfId="243" xr:uid="{00000000-0005-0000-0000-00001D000000}"/>
    <cellStyle name="Millares 10 4 3" xfId="244" xr:uid="{00000000-0005-0000-0000-00001E000000}"/>
    <cellStyle name="Millares 10 5" xfId="245" xr:uid="{00000000-0005-0000-0000-00001F000000}"/>
    <cellStyle name="Millares 10 5 2" xfId="246" xr:uid="{00000000-0005-0000-0000-000020000000}"/>
    <cellStyle name="Millares 10 5 3" xfId="247" xr:uid="{00000000-0005-0000-0000-000021000000}"/>
    <cellStyle name="Millares 10 6" xfId="248" xr:uid="{00000000-0005-0000-0000-000022000000}"/>
    <cellStyle name="Millares 10 7" xfId="249" xr:uid="{00000000-0005-0000-0000-000023000000}"/>
    <cellStyle name="Millares 10 8" xfId="250" xr:uid="{00000000-0005-0000-0000-000024000000}"/>
    <cellStyle name="Millares 10 9" xfId="251" xr:uid="{00000000-0005-0000-0000-000025000000}"/>
    <cellStyle name="Millares 11" xfId="252" xr:uid="{00000000-0005-0000-0000-000026000000}"/>
    <cellStyle name="Millares 11 2" xfId="253" xr:uid="{00000000-0005-0000-0000-000027000000}"/>
    <cellStyle name="Millares 11 2 2" xfId="254" xr:uid="{00000000-0005-0000-0000-000028000000}"/>
    <cellStyle name="Millares 11 3" xfId="255" xr:uid="{00000000-0005-0000-0000-000029000000}"/>
    <cellStyle name="Millares 12" xfId="222" xr:uid="{00000000-0005-0000-0000-00002A000000}"/>
    <cellStyle name="Millares 12 2" xfId="256" xr:uid="{00000000-0005-0000-0000-00002B000000}"/>
    <cellStyle name="Millares 12 2 2" xfId="2211" xr:uid="{00000000-0005-0000-0000-00002C000000}"/>
    <cellStyle name="Millares 12 3" xfId="2212" xr:uid="{00000000-0005-0000-0000-00002D000000}"/>
    <cellStyle name="Millares 12 4" xfId="2210" xr:uid="{00000000-0005-0000-0000-00002E000000}"/>
    <cellStyle name="Millares 13" xfId="257" xr:uid="{00000000-0005-0000-0000-00002F000000}"/>
    <cellStyle name="Millares 13 2" xfId="258" xr:uid="{00000000-0005-0000-0000-000030000000}"/>
    <cellStyle name="Millares 13 2 2" xfId="2214" xr:uid="{00000000-0005-0000-0000-000031000000}"/>
    <cellStyle name="Millares 13 3" xfId="2213" xr:uid="{00000000-0005-0000-0000-000032000000}"/>
    <cellStyle name="Millares 2" xfId="10" xr:uid="{00000000-0005-0000-0000-000033000000}"/>
    <cellStyle name="Millares 2 10" xfId="259" xr:uid="{00000000-0005-0000-0000-000034000000}"/>
    <cellStyle name="Millares 2 11" xfId="260" xr:uid="{00000000-0005-0000-0000-000035000000}"/>
    <cellStyle name="Millares 2 12" xfId="261" xr:uid="{00000000-0005-0000-0000-000036000000}"/>
    <cellStyle name="Millares 2 13" xfId="262" xr:uid="{00000000-0005-0000-0000-000037000000}"/>
    <cellStyle name="Millares 2 14" xfId="263" xr:uid="{00000000-0005-0000-0000-000038000000}"/>
    <cellStyle name="Millares 2 15" xfId="264" xr:uid="{00000000-0005-0000-0000-000039000000}"/>
    <cellStyle name="Millares 2 16" xfId="265" xr:uid="{00000000-0005-0000-0000-00003A000000}"/>
    <cellStyle name="Millares 2 17" xfId="266" xr:uid="{00000000-0005-0000-0000-00003B000000}"/>
    <cellStyle name="Millares 2 18" xfId="267" xr:uid="{00000000-0005-0000-0000-00003C000000}"/>
    <cellStyle name="Millares 2 19" xfId="268" xr:uid="{00000000-0005-0000-0000-00003D000000}"/>
    <cellStyle name="Millares 2 2" xfId="11" xr:uid="{00000000-0005-0000-0000-00003E000000}"/>
    <cellStyle name="Millares 2 2 2" xfId="225" xr:uid="{00000000-0005-0000-0000-00003F000000}"/>
    <cellStyle name="Millares 2 2 3" xfId="269" xr:uid="{00000000-0005-0000-0000-000040000000}"/>
    <cellStyle name="Millares 2 20" xfId="270" xr:uid="{00000000-0005-0000-0000-000041000000}"/>
    <cellStyle name="Millares 2 20 2" xfId="271" xr:uid="{00000000-0005-0000-0000-000042000000}"/>
    <cellStyle name="Millares 2 20 3" xfId="272" xr:uid="{00000000-0005-0000-0000-000043000000}"/>
    <cellStyle name="Millares 2 21" xfId="273" xr:uid="{00000000-0005-0000-0000-000044000000}"/>
    <cellStyle name="Millares 2 21 2" xfId="274" xr:uid="{00000000-0005-0000-0000-000045000000}"/>
    <cellStyle name="Millares 2 21 2 2" xfId="2216" xr:uid="{00000000-0005-0000-0000-000046000000}"/>
    <cellStyle name="Millares 2 21 3" xfId="275" xr:uid="{00000000-0005-0000-0000-000047000000}"/>
    <cellStyle name="Millares 2 22" xfId="276" xr:uid="{00000000-0005-0000-0000-000048000000}"/>
    <cellStyle name="Millares 2 22 2" xfId="2217" xr:uid="{00000000-0005-0000-0000-000049000000}"/>
    <cellStyle name="Millares 2 23" xfId="277" xr:uid="{00000000-0005-0000-0000-00004A000000}"/>
    <cellStyle name="Millares 2 24" xfId="2218" xr:uid="{00000000-0005-0000-0000-00004B000000}"/>
    <cellStyle name="Millares 2 25" xfId="2215" xr:uid="{00000000-0005-0000-0000-00004C000000}"/>
    <cellStyle name="Millares 2 3" xfId="278" xr:uid="{00000000-0005-0000-0000-00004D000000}"/>
    <cellStyle name="Millares 2 3 2" xfId="279" xr:uid="{00000000-0005-0000-0000-00004E000000}"/>
    <cellStyle name="Millares 2 3 3" xfId="280" xr:uid="{00000000-0005-0000-0000-00004F000000}"/>
    <cellStyle name="Millares 2 3 4" xfId="2219" xr:uid="{00000000-0005-0000-0000-000050000000}"/>
    <cellStyle name="Millares 2 4" xfId="281" xr:uid="{00000000-0005-0000-0000-000051000000}"/>
    <cellStyle name="Millares 2 4 2" xfId="282" xr:uid="{00000000-0005-0000-0000-000052000000}"/>
    <cellStyle name="Millares 2 4 3" xfId="283" xr:uid="{00000000-0005-0000-0000-000053000000}"/>
    <cellStyle name="Millares 2 5" xfId="284" xr:uid="{00000000-0005-0000-0000-000054000000}"/>
    <cellStyle name="Millares 2 5 2" xfId="285" xr:uid="{00000000-0005-0000-0000-000055000000}"/>
    <cellStyle name="Millares 2 5 3" xfId="286" xr:uid="{00000000-0005-0000-0000-000056000000}"/>
    <cellStyle name="Millares 2 5 4" xfId="287" xr:uid="{00000000-0005-0000-0000-000057000000}"/>
    <cellStyle name="Millares 2 6" xfId="288" xr:uid="{00000000-0005-0000-0000-000058000000}"/>
    <cellStyle name="Millares 2 6 2" xfId="289" xr:uid="{00000000-0005-0000-0000-000059000000}"/>
    <cellStyle name="Millares 2 6 3" xfId="290" xr:uid="{00000000-0005-0000-0000-00005A000000}"/>
    <cellStyle name="Millares 2 7" xfId="291" xr:uid="{00000000-0005-0000-0000-00005B000000}"/>
    <cellStyle name="Millares 2 8" xfId="292" xr:uid="{00000000-0005-0000-0000-00005C000000}"/>
    <cellStyle name="Millares 2 9" xfId="293" xr:uid="{00000000-0005-0000-0000-00005D000000}"/>
    <cellStyle name="Millares 3" xfId="12" xr:uid="{00000000-0005-0000-0000-00005E000000}"/>
    <cellStyle name="Millares 3 2" xfId="294" xr:uid="{00000000-0005-0000-0000-00005F000000}"/>
    <cellStyle name="Millares 3 2 2" xfId="295" xr:uid="{00000000-0005-0000-0000-000060000000}"/>
    <cellStyle name="Millares 3 2 2 2" xfId="2221" xr:uid="{00000000-0005-0000-0000-000061000000}"/>
    <cellStyle name="Millares 3 2 3" xfId="296" xr:uid="{00000000-0005-0000-0000-000062000000}"/>
    <cellStyle name="Millares 3 2 4" xfId="2220" xr:uid="{00000000-0005-0000-0000-000063000000}"/>
    <cellStyle name="Millares 3 3" xfId="226" xr:uid="{00000000-0005-0000-0000-000064000000}"/>
    <cellStyle name="Millares 3 3 2" xfId="297" xr:uid="{00000000-0005-0000-0000-000065000000}"/>
    <cellStyle name="Millares 3 3 2 2" xfId="298" xr:uid="{00000000-0005-0000-0000-000066000000}"/>
    <cellStyle name="Millares 3 3 2 2 2" xfId="2224" xr:uid="{00000000-0005-0000-0000-000067000000}"/>
    <cellStyle name="Millares 3 3 2 3" xfId="2223" xr:uid="{00000000-0005-0000-0000-000068000000}"/>
    <cellStyle name="Millares 3 3 3" xfId="2222" xr:uid="{00000000-0005-0000-0000-000069000000}"/>
    <cellStyle name="Millares 3 4" xfId="299" xr:uid="{00000000-0005-0000-0000-00006A000000}"/>
    <cellStyle name="Millares 3 4 2" xfId="2225" xr:uid="{00000000-0005-0000-0000-00006B000000}"/>
    <cellStyle name="Millares 3 5" xfId="300" xr:uid="{00000000-0005-0000-0000-00006C000000}"/>
    <cellStyle name="Millares 3 5 2" xfId="301" xr:uid="{00000000-0005-0000-0000-00006D000000}"/>
    <cellStyle name="Millares 3 5 2 2" xfId="302" xr:uid="{00000000-0005-0000-0000-00006E000000}"/>
    <cellStyle name="Millares 3 5 2 2 2" xfId="2228" xr:uid="{00000000-0005-0000-0000-00006F000000}"/>
    <cellStyle name="Millares 3 5 2 3" xfId="2227" xr:uid="{00000000-0005-0000-0000-000070000000}"/>
    <cellStyle name="Millares 3 5 3" xfId="303" xr:uid="{00000000-0005-0000-0000-000071000000}"/>
    <cellStyle name="Millares 3 5 3 2" xfId="2229" xr:uid="{00000000-0005-0000-0000-000072000000}"/>
    <cellStyle name="Millares 3 5 4" xfId="2226" xr:uid="{00000000-0005-0000-0000-000073000000}"/>
    <cellStyle name="Millares 3 6" xfId="304" xr:uid="{00000000-0005-0000-0000-000074000000}"/>
    <cellStyle name="Millares 3 6 2" xfId="305" xr:uid="{00000000-0005-0000-0000-000075000000}"/>
    <cellStyle name="Millares 3 7" xfId="306" xr:uid="{00000000-0005-0000-0000-000076000000}"/>
    <cellStyle name="Millares 4" xfId="13" xr:uid="{00000000-0005-0000-0000-000077000000}"/>
    <cellStyle name="Millares 4 10" xfId="14" xr:uid="{00000000-0005-0000-0000-000078000000}"/>
    <cellStyle name="Millares 4 10 2" xfId="307" xr:uid="{00000000-0005-0000-0000-000079000000}"/>
    <cellStyle name="Millares 4 10 2 2" xfId="308" xr:uid="{00000000-0005-0000-0000-00007A000000}"/>
    <cellStyle name="Millares 4 10 2 3" xfId="309" xr:uid="{00000000-0005-0000-0000-00007B000000}"/>
    <cellStyle name="Millares 4 10 3" xfId="310" xr:uid="{00000000-0005-0000-0000-00007C000000}"/>
    <cellStyle name="Millares 4 10 3 2" xfId="311" xr:uid="{00000000-0005-0000-0000-00007D000000}"/>
    <cellStyle name="Millares 4 10 3 3" xfId="312" xr:uid="{00000000-0005-0000-0000-00007E000000}"/>
    <cellStyle name="Millares 4 10 4" xfId="313" xr:uid="{00000000-0005-0000-0000-00007F000000}"/>
    <cellStyle name="Millares 4 10 5" xfId="314" xr:uid="{00000000-0005-0000-0000-000080000000}"/>
    <cellStyle name="Millares 4 10 6" xfId="315" xr:uid="{00000000-0005-0000-0000-000081000000}"/>
    <cellStyle name="Millares 4 10 7" xfId="316" xr:uid="{00000000-0005-0000-0000-000082000000}"/>
    <cellStyle name="Millares 4 11" xfId="15" xr:uid="{00000000-0005-0000-0000-000083000000}"/>
    <cellStyle name="Millares 4 11 2" xfId="317" xr:uid="{00000000-0005-0000-0000-000084000000}"/>
    <cellStyle name="Millares 4 11 2 2" xfId="318" xr:uid="{00000000-0005-0000-0000-000085000000}"/>
    <cellStyle name="Millares 4 11 2 3" xfId="319" xr:uid="{00000000-0005-0000-0000-000086000000}"/>
    <cellStyle name="Millares 4 11 3" xfId="320" xr:uid="{00000000-0005-0000-0000-000087000000}"/>
    <cellStyle name="Millares 4 11 3 2" xfId="321" xr:uid="{00000000-0005-0000-0000-000088000000}"/>
    <cellStyle name="Millares 4 11 3 3" xfId="322" xr:uid="{00000000-0005-0000-0000-000089000000}"/>
    <cellStyle name="Millares 4 11 4" xfId="323" xr:uid="{00000000-0005-0000-0000-00008A000000}"/>
    <cellStyle name="Millares 4 11 5" xfId="324" xr:uid="{00000000-0005-0000-0000-00008B000000}"/>
    <cellStyle name="Millares 4 11 6" xfId="325" xr:uid="{00000000-0005-0000-0000-00008C000000}"/>
    <cellStyle name="Millares 4 11 7" xfId="326" xr:uid="{00000000-0005-0000-0000-00008D000000}"/>
    <cellStyle name="Millares 4 12" xfId="16" xr:uid="{00000000-0005-0000-0000-00008E000000}"/>
    <cellStyle name="Millares 4 12 2" xfId="327" xr:uid="{00000000-0005-0000-0000-00008F000000}"/>
    <cellStyle name="Millares 4 12 2 2" xfId="328" xr:uid="{00000000-0005-0000-0000-000090000000}"/>
    <cellStyle name="Millares 4 12 2 3" xfId="329" xr:uid="{00000000-0005-0000-0000-000091000000}"/>
    <cellStyle name="Millares 4 12 3" xfId="330" xr:uid="{00000000-0005-0000-0000-000092000000}"/>
    <cellStyle name="Millares 4 12 3 2" xfId="331" xr:uid="{00000000-0005-0000-0000-000093000000}"/>
    <cellStyle name="Millares 4 12 3 3" xfId="332" xr:uid="{00000000-0005-0000-0000-000094000000}"/>
    <cellStyle name="Millares 4 12 4" xfId="333" xr:uid="{00000000-0005-0000-0000-000095000000}"/>
    <cellStyle name="Millares 4 12 5" xfId="334" xr:uid="{00000000-0005-0000-0000-000096000000}"/>
    <cellStyle name="Millares 4 12 6" xfId="335" xr:uid="{00000000-0005-0000-0000-000097000000}"/>
    <cellStyle name="Millares 4 12 7" xfId="336" xr:uid="{00000000-0005-0000-0000-000098000000}"/>
    <cellStyle name="Millares 4 13" xfId="17" xr:uid="{00000000-0005-0000-0000-000099000000}"/>
    <cellStyle name="Millares 4 13 2" xfId="337" xr:uid="{00000000-0005-0000-0000-00009A000000}"/>
    <cellStyle name="Millares 4 13 2 2" xfId="338" xr:uid="{00000000-0005-0000-0000-00009B000000}"/>
    <cellStyle name="Millares 4 13 2 3" xfId="339" xr:uid="{00000000-0005-0000-0000-00009C000000}"/>
    <cellStyle name="Millares 4 13 3" xfId="340" xr:uid="{00000000-0005-0000-0000-00009D000000}"/>
    <cellStyle name="Millares 4 13 3 2" xfId="341" xr:uid="{00000000-0005-0000-0000-00009E000000}"/>
    <cellStyle name="Millares 4 13 3 3" xfId="342" xr:uid="{00000000-0005-0000-0000-00009F000000}"/>
    <cellStyle name="Millares 4 13 4" xfId="343" xr:uid="{00000000-0005-0000-0000-0000A0000000}"/>
    <cellStyle name="Millares 4 13 5" xfId="344" xr:uid="{00000000-0005-0000-0000-0000A1000000}"/>
    <cellStyle name="Millares 4 13 6" xfId="345" xr:uid="{00000000-0005-0000-0000-0000A2000000}"/>
    <cellStyle name="Millares 4 13 7" xfId="346" xr:uid="{00000000-0005-0000-0000-0000A3000000}"/>
    <cellStyle name="Millares 4 14" xfId="18" xr:uid="{00000000-0005-0000-0000-0000A4000000}"/>
    <cellStyle name="Millares 4 14 2" xfId="347" xr:uid="{00000000-0005-0000-0000-0000A5000000}"/>
    <cellStyle name="Millares 4 14 2 2" xfId="348" xr:uid="{00000000-0005-0000-0000-0000A6000000}"/>
    <cellStyle name="Millares 4 14 2 3" xfId="349" xr:uid="{00000000-0005-0000-0000-0000A7000000}"/>
    <cellStyle name="Millares 4 14 3" xfId="350" xr:uid="{00000000-0005-0000-0000-0000A8000000}"/>
    <cellStyle name="Millares 4 14 3 2" xfId="351" xr:uid="{00000000-0005-0000-0000-0000A9000000}"/>
    <cellStyle name="Millares 4 14 3 3" xfId="352" xr:uid="{00000000-0005-0000-0000-0000AA000000}"/>
    <cellStyle name="Millares 4 14 4" xfId="353" xr:uid="{00000000-0005-0000-0000-0000AB000000}"/>
    <cellStyle name="Millares 4 14 5" xfId="354" xr:uid="{00000000-0005-0000-0000-0000AC000000}"/>
    <cellStyle name="Millares 4 14 6" xfId="355" xr:uid="{00000000-0005-0000-0000-0000AD000000}"/>
    <cellStyle name="Millares 4 14 7" xfId="356" xr:uid="{00000000-0005-0000-0000-0000AE000000}"/>
    <cellStyle name="Millares 4 15" xfId="19" xr:uid="{00000000-0005-0000-0000-0000AF000000}"/>
    <cellStyle name="Millares 4 15 2" xfId="20" xr:uid="{00000000-0005-0000-0000-0000B0000000}"/>
    <cellStyle name="Millares 4 15 2 2" xfId="21" xr:uid="{00000000-0005-0000-0000-0000B1000000}"/>
    <cellStyle name="Millares 4 15 2 2 2" xfId="22" xr:uid="{00000000-0005-0000-0000-0000B2000000}"/>
    <cellStyle name="Millares 4 15 2 2 2 2" xfId="357" xr:uid="{00000000-0005-0000-0000-0000B3000000}"/>
    <cellStyle name="Millares 4 15 2 2 2 3" xfId="358" xr:uid="{00000000-0005-0000-0000-0000B4000000}"/>
    <cellStyle name="Millares 4 15 2 2 3" xfId="359" xr:uid="{00000000-0005-0000-0000-0000B5000000}"/>
    <cellStyle name="Millares 4 15 2 2 4" xfId="360" xr:uid="{00000000-0005-0000-0000-0000B6000000}"/>
    <cellStyle name="Millares 4 15 2 3" xfId="361" xr:uid="{00000000-0005-0000-0000-0000B7000000}"/>
    <cellStyle name="Millares 4 15 2 4" xfId="362" xr:uid="{00000000-0005-0000-0000-0000B8000000}"/>
    <cellStyle name="Millares 4 15 3" xfId="363" xr:uid="{00000000-0005-0000-0000-0000B9000000}"/>
    <cellStyle name="Millares 4 15 4" xfId="364" xr:uid="{00000000-0005-0000-0000-0000BA000000}"/>
    <cellStyle name="Millares 4 16" xfId="23" xr:uid="{00000000-0005-0000-0000-0000BB000000}"/>
    <cellStyle name="Millares 4 16 2" xfId="24" xr:uid="{00000000-0005-0000-0000-0000BC000000}"/>
    <cellStyle name="Millares 4 16 2 2" xfId="365" xr:uid="{00000000-0005-0000-0000-0000BD000000}"/>
    <cellStyle name="Millares 4 16 2 3" xfId="366" xr:uid="{00000000-0005-0000-0000-0000BE000000}"/>
    <cellStyle name="Millares 4 16 3" xfId="367" xr:uid="{00000000-0005-0000-0000-0000BF000000}"/>
    <cellStyle name="Millares 4 16 4" xfId="368" xr:uid="{00000000-0005-0000-0000-0000C0000000}"/>
    <cellStyle name="Millares 4 17" xfId="369" xr:uid="{00000000-0005-0000-0000-0000C1000000}"/>
    <cellStyle name="Millares 4 17 2" xfId="370" xr:uid="{00000000-0005-0000-0000-0000C2000000}"/>
    <cellStyle name="Millares 4 17 3" xfId="371" xr:uid="{00000000-0005-0000-0000-0000C3000000}"/>
    <cellStyle name="Millares 4 18" xfId="372" xr:uid="{00000000-0005-0000-0000-0000C4000000}"/>
    <cellStyle name="Millares 4 18 2" xfId="373" xr:uid="{00000000-0005-0000-0000-0000C5000000}"/>
    <cellStyle name="Millares 4 18 3" xfId="374" xr:uid="{00000000-0005-0000-0000-0000C6000000}"/>
    <cellStyle name="Millares 4 19" xfId="375" xr:uid="{00000000-0005-0000-0000-0000C7000000}"/>
    <cellStyle name="Millares 4 2" xfId="25" xr:uid="{00000000-0005-0000-0000-0000C8000000}"/>
    <cellStyle name="Millares 4 2 2" xfId="376" xr:uid="{00000000-0005-0000-0000-0000C9000000}"/>
    <cellStyle name="Millares 4 2 2 2" xfId="377" xr:uid="{00000000-0005-0000-0000-0000CA000000}"/>
    <cellStyle name="Millares 4 2 2 3" xfId="378" xr:uid="{00000000-0005-0000-0000-0000CB000000}"/>
    <cellStyle name="Millares 4 2 3" xfId="379" xr:uid="{00000000-0005-0000-0000-0000CC000000}"/>
    <cellStyle name="Millares 4 2 3 2" xfId="380" xr:uid="{00000000-0005-0000-0000-0000CD000000}"/>
    <cellStyle name="Millares 4 2 3 3" xfId="381" xr:uid="{00000000-0005-0000-0000-0000CE000000}"/>
    <cellStyle name="Millares 4 2 4" xfId="382" xr:uid="{00000000-0005-0000-0000-0000CF000000}"/>
    <cellStyle name="Millares 4 2 5" xfId="383" xr:uid="{00000000-0005-0000-0000-0000D0000000}"/>
    <cellStyle name="Millares 4 2 6" xfId="384" xr:uid="{00000000-0005-0000-0000-0000D1000000}"/>
    <cellStyle name="Millares 4 2 7" xfId="385" xr:uid="{00000000-0005-0000-0000-0000D2000000}"/>
    <cellStyle name="Millares 4 20" xfId="386" xr:uid="{00000000-0005-0000-0000-0000D3000000}"/>
    <cellStyle name="Millares 4 21" xfId="387" xr:uid="{00000000-0005-0000-0000-0000D4000000}"/>
    <cellStyle name="Millares 4 22" xfId="388" xr:uid="{00000000-0005-0000-0000-0000D5000000}"/>
    <cellStyle name="Millares 4 23" xfId="389" xr:uid="{00000000-0005-0000-0000-0000D6000000}"/>
    <cellStyle name="Millares 4 23 2" xfId="390" xr:uid="{00000000-0005-0000-0000-0000D7000000}"/>
    <cellStyle name="Millares 4 23 2 2" xfId="391" xr:uid="{00000000-0005-0000-0000-0000D8000000}"/>
    <cellStyle name="Millares 4 23 2 2 2" xfId="2232" xr:uid="{00000000-0005-0000-0000-0000D9000000}"/>
    <cellStyle name="Millares 4 23 2 3" xfId="2231" xr:uid="{00000000-0005-0000-0000-0000DA000000}"/>
    <cellStyle name="Millares 4 23 3" xfId="392" xr:uid="{00000000-0005-0000-0000-0000DB000000}"/>
    <cellStyle name="Millares 4 23 3 2" xfId="2233" xr:uid="{00000000-0005-0000-0000-0000DC000000}"/>
    <cellStyle name="Millares 4 23 4" xfId="2230" xr:uid="{00000000-0005-0000-0000-0000DD000000}"/>
    <cellStyle name="Millares 4 24" xfId="393" xr:uid="{00000000-0005-0000-0000-0000DE000000}"/>
    <cellStyle name="Millares 4 25" xfId="394" xr:uid="{00000000-0005-0000-0000-0000DF000000}"/>
    <cellStyle name="Millares 4 25 2" xfId="395" xr:uid="{00000000-0005-0000-0000-0000E0000000}"/>
    <cellStyle name="Millares 4 25 2 2" xfId="2235" xr:uid="{00000000-0005-0000-0000-0000E1000000}"/>
    <cellStyle name="Millares 4 25 3" xfId="2234" xr:uid="{00000000-0005-0000-0000-0000E2000000}"/>
    <cellStyle name="Millares 4 26" xfId="396" xr:uid="{00000000-0005-0000-0000-0000E3000000}"/>
    <cellStyle name="Millares 4 3" xfId="26" xr:uid="{00000000-0005-0000-0000-0000E4000000}"/>
    <cellStyle name="Millares 4 3 2" xfId="397" xr:uid="{00000000-0005-0000-0000-0000E5000000}"/>
    <cellStyle name="Millares 4 3 2 2" xfId="398" xr:uid="{00000000-0005-0000-0000-0000E6000000}"/>
    <cellStyle name="Millares 4 3 2 3" xfId="399" xr:uid="{00000000-0005-0000-0000-0000E7000000}"/>
    <cellStyle name="Millares 4 3 3" xfId="400" xr:uid="{00000000-0005-0000-0000-0000E8000000}"/>
    <cellStyle name="Millares 4 3 3 2" xfId="401" xr:uid="{00000000-0005-0000-0000-0000E9000000}"/>
    <cellStyle name="Millares 4 3 3 3" xfId="402" xr:uid="{00000000-0005-0000-0000-0000EA000000}"/>
    <cellStyle name="Millares 4 3 4" xfId="403" xr:uid="{00000000-0005-0000-0000-0000EB000000}"/>
    <cellStyle name="Millares 4 3 5" xfId="404" xr:uid="{00000000-0005-0000-0000-0000EC000000}"/>
    <cellStyle name="Millares 4 3 6" xfId="405" xr:uid="{00000000-0005-0000-0000-0000ED000000}"/>
    <cellStyle name="Millares 4 3 7" xfId="406" xr:uid="{00000000-0005-0000-0000-0000EE000000}"/>
    <cellStyle name="Millares 4 4" xfId="27" xr:uid="{00000000-0005-0000-0000-0000EF000000}"/>
    <cellStyle name="Millares 4 4 2" xfId="407" xr:uid="{00000000-0005-0000-0000-0000F0000000}"/>
    <cellStyle name="Millares 4 4 2 2" xfId="408" xr:uid="{00000000-0005-0000-0000-0000F1000000}"/>
    <cellStyle name="Millares 4 4 2 3" xfId="409" xr:uid="{00000000-0005-0000-0000-0000F2000000}"/>
    <cellStyle name="Millares 4 4 3" xfId="410" xr:uid="{00000000-0005-0000-0000-0000F3000000}"/>
    <cellStyle name="Millares 4 4 3 2" xfId="411" xr:uid="{00000000-0005-0000-0000-0000F4000000}"/>
    <cellStyle name="Millares 4 4 3 3" xfId="412" xr:uid="{00000000-0005-0000-0000-0000F5000000}"/>
    <cellStyle name="Millares 4 4 4" xfId="413" xr:uid="{00000000-0005-0000-0000-0000F6000000}"/>
    <cellStyle name="Millares 4 4 5" xfId="414" xr:uid="{00000000-0005-0000-0000-0000F7000000}"/>
    <cellStyle name="Millares 4 4 6" xfId="415" xr:uid="{00000000-0005-0000-0000-0000F8000000}"/>
    <cellStyle name="Millares 4 4 7" xfId="416" xr:uid="{00000000-0005-0000-0000-0000F9000000}"/>
    <cellStyle name="Millares 4 5" xfId="28" xr:uid="{00000000-0005-0000-0000-0000FA000000}"/>
    <cellStyle name="Millares 4 5 2" xfId="417" xr:uid="{00000000-0005-0000-0000-0000FB000000}"/>
    <cellStyle name="Millares 4 5 2 2" xfId="418" xr:uid="{00000000-0005-0000-0000-0000FC000000}"/>
    <cellStyle name="Millares 4 5 2 3" xfId="419" xr:uid="{00000000-0005-0000-0000-0000FD000000}"/>
    <cellStyle name="Millares 4 5 3" xfId="420" xr:uid="{00000000-0005-0000-0000-0000FE000000}"/>
    <cellStyle name="Millares 4 5 3 2" xfId="421" xr:uid="{00000000-0005-0000-0000-0000FF000000}"/>
    <cellStyle name="Millares 4 5 3 3" xfId="422" xr:uid="{00000000-0005-0000-0000-000000010000}"/>
    <cellStyle name="Millares 4 5 4" xfId="423" xr:uid="{00000000-0005-0000-0000-000001010000}"/>
    <cellStyle name="Millares 4 5 5" xfId="424" xr:uid="{00000000-0005-0000-0000-000002010000}"/>
    <cellStyle name="Millares 4 5 6" xfId="425" xr:uid="{00000000-0005-0000-0000-000003010000}"/>
    <cellStyle name="Millares 4 5 7" xfId="426" xr:uid="{00000000-0005-0000-0000-000004010000}"/>
    <cellStyle name="Millares 4 6" xfId="29" xr:uid="{00000000-0005-0000-0000-000005010000}"/>
    <cellStyle name="Millares 4 6 2" xfId="427" xr:uid="{00000000-0005-0000-0000-000006010000}"/>
    <cellStyle name="Millares 4 6 2 2" xfId="428" xr:uid="{00000000-0005-0000-0000-000007010000}"/>
    <cellStyle name="Millares 4 6 2 3" xfId="429" xr:uid="{00000000-0005-0000-0000-000008010000}"/>
    <cellStyle name="Millares 4 6 3" xfId="430" xr:uid="{00000000-0005-0000-0000-000009010000}"/>
    <cellStyle name="Millares 4 6 3 2" xfId="431" xr:uid="{00000000-0005-0000-0000-00000A010000}"/>
    <cellStyle name="Millares 4 6 3 3" xfId="432" xr:uid="{00000000-0005-0000-0000-00000B010000}"/>
    <cellStyle name="Millares 4 6 4" xfId="433" xr:uid="{00000000-0005-0000-0000-00000C010000}"/>
    <cellStyle name="Millares 4 6 5" xfId="434" xr:uid="{00000000-0005-0000-0000-00000D010000}"/>
    <cellStyle name="Millares 4 6 6" xfId="435" xr:uid="{00000000-0005-0000-0000-00000E010000}"/>
    <cellStyle name="Millares 4 6 7" xfId="436" xr:uid="{00000000-0005-0000-0000-00000F010000}"/>
    <cellStyle name="Millares 4 7" xfId="30" xr:uid="{00000000-0005-0000-0000-000010010000}"/>
    <cellStyle name="Millares 4 7 2" xfId="437" xr:uid="{00000000-0005-0000-0000-000011010000}"/>
    <cellStyle name="Millares 4 7 2 2" xfId="438" xr:uid="{00000000-0005-0000-0000-000012010000}"/>
    <cellStyle name="Millares 4 7 2 3" xfId="439" xr:uid="{00000000-0005-0000-0000-000013010000}"/>
    <cellStyle name="Millares 4 7 3" xfId="440" xr:uid="{00000000-0005-0000-0000-000014010000}"/>
    <cellStyle name="Millares 4 7 3 2" xfId="441" xr:uid="{00000000-0005-0000-0000-000015010000}"/>
    <cellStyle name="Millares 4 7 3 3" xfId="442" xr:uid="{00000000-0005-0000-0000-000016010000}"/>
    <cellStyle name="Millares 4 7 4" xfId="443" xr:uid="{00000000-0005-0000-0000-000017010000}"/>
    <cellStyle name="Millares 4 7 5" xfId="444" xr:uid="{00000000-0005-0000-0000-000018010000}"/>
    <cellStyle name="Millares 4 7 6" xfId="445" xr:uid="{00000000-0005-0000-0000-000019010000}"/>
    <cellStyle name="Millares 4 7 7" xfId="446" xr:uid="{00000000-0005-0000-0000-00001A010000}"/>
    <cellStyle name="Millares 4 8" xfId="31" xr:uid="{00000000-0005-0000-0000-00001B010000}"/>
    <cellStyle name="Millares 4 8 2" xfId="447" xr:uid="{00000000-0005-0000-0000-00001C010000}"/>
    <cellStyle name="Millares 4 8 2 2" xfId="448" xr:uid="{00000000-0005-0000-0000-00001D010000}"/>
    <cellStyle name="Millares 4 8 2 3" xfId="449" xr:uid="{00000000-0005-0000-0000-00001E010000}"/>
    <cellStyle name="Millares 4 8 3" xfId="450" xr:uid="{00000000-0005-0000-0000-00001F010000}"/>
    <cellStyle name="Millares 4 8 3 2" xfId="451" xr:uid="{00000000-0005-0000-0000-000020010000}"/>
    <cellStyle name="Millares 4 8 3 3" xfId="452" xr:uid="{00000000-0005-0000-0000-000021010000}"/>
    <cellStyle name="Millares 4 8 4" xfId="453" xr:uid="{00000000-0005-0000-0000-000022010000}"/>
    <cellStyle name="Millares 4 8 5" xfId="454" xr:uid="{00000000-0005-0000-0000-000023010000}"/>
    <cellStyle name="Millares 4 8 6" xfId="455" xr:uid="{00000000-0005-0000-0000-000024010000}"/>
    <cellStyle name="Millares 4 8 7" xfId="456" xr:uid="{00000000-0005-0000-0000-000025010000}"/>
    <cellStyle name="Millares 4 9" xfId="32" xr:uid="{00000000-0005-0000-0000-000026010000}"/>
    <cellStyle name="Millares 4 9 2" xfId="457" xr:uid="{00000000-0005-0000-0000-000027010000}"/>
    <cellStyle name="Millares 4 9 2 2" xfId="458" xr:uid="{00000000-0005-0000-0000-000028010000}"/>
    <cellStyle name="Millares 4 9 2 3" xfId="459" xr:uid="{00000000-0005-0000-0000-000029010000}"/>
    <cellStyle name="Millares 4 9 3" xfId="460" xr:uid="{00000000-0005-0000-0000-00002A010000}"/>
    <cellStyle name="Millares 4 9 3 2" xfId="461" xr:uid="{00000000-0005-0000-0000-00002B010000}"/>
    <cellStyle name="Millares 4 9 3 3" xfId="462" xr:uid="{00000000-0005-0000-0000-00002C010000}"/>
    <cellStyle name="Millares 4 9 4" xfId="463" xr:uid="{00000000-0005-0000-0000-00002D010000}"/>
    <cellStyle name="Millares 4 9 5" xfId="464" xr:uid="{00000000-0005-0000-0000-00002E010000}"/>
    <cellStyle name="Millares 4 9 6" xfId="465" xr:uid="{00000000-0005-0000-0000-00002F010000}"/>
    <cellStyle name="Millares 4 9 7" xfId="466" xr:uid="{00000000-0005-0000-0000-000030010000}"/>
    <cellStyle name="Millares 5" xfId="33" xr:uid="{00000000-0005-0000-0000-000031010000}"/>
    <cellStyle name="Millares 5 2" xfId="467" xr:uid="{00000000-0005-0000-0000-000032010000}"/>
    <cellStyle name="Millares 5 3" xfId="468" xr:uid="{00000000-0005-0000-0000-000033010000}"/>
    <cellStyle name="Millares 6" xfId="220" xr:uid="{00000000-0005-0000-0000-000034010000}"/>
    <cellStyle name="Millares 6 2" xfId="469" xr:uid="{00000000-0005-0000-0000-000035010000}"/>
    <cellStyle name="Millares 6 2 2" xfId="470" xr:uid="{00000000-0005-0000-0000-000036010000}"/>
    <cellStyle name="Millares 6 2 2 2" xfId="2238" xr:uid="{00000000-0005-0000-0000-000037010000}"/>
    <cellStyle name="Millares 6 2 3" xfId="2237" xr:uid="{00000000-0005-0000-0000-000038010000}"/>
    <cellStyle name="Millares 6 3" xfId="471" xr:uid="{00000000-0005-0000-0000-000039010000}"/>
    <cellStyle name="Millares 6 3 2" xfId="472" xr:uid="{00000000-0005-0000-0000-00003A010000}"/>
    <cellStyle name="Millares 6 3 2 2" xfId="2240" xr:uid="{00000000-0005-0000-0000-00003B010000}"/>
    <cellStyle name="Millares 6 3 3" xfId="2239" xr:uid="{00000000-0005-0000-0000-00003C010000}"/>
    <cellStyle name="Millares 6 4" xfId="473" xr:uid="{00000000-0005-0000-0000-00003D010000}"/>
    <cellStyle name="Millares 6 5" xfId="2241" xr:uid="{00000000-0005-0000-0000-00003E010000}"/>
    <cellStyle name="Millares 6 5 2" xfId="2242" xr:uid="{00000000-0005-0000-0000-00003F010000}"/>
    <cellStyle name="Millares 6 5 2 3 2" xfId="2268" xr:uid="{00000000-0005-0000-0000-000040010000}"/>
    <cellStyle name="Millares 6 5 2 3 2 2" xfId="2285" xr:uid="{00000000-0005-0000-0000-000041010000}"/>
    <cellStyle name="Millares 6 5 2 3 2 2 2" xfId="2288" xr:uid="{00000000-0005-0000-0000-000042010000}"/>
    <cellStyle name="Millares 6 6" xfId="2236" xr:uid="{00000000-0005-0000-0000-000043010000}"/>
    <cellStyle name="Millares 6 7" xfId="2284" xr:uid="{00000000-0005-0000-0000-000044010000}"/>
    <cellStyle name="Millares 6 7 2" xfId="2289" xr:uid="{00000000-0005-0000-0000-000045010000}"/>
    <cellStyle name="Millares 7" xfId="474" xr:uid="{00000000-0005-0000-0000-000046010000}"/>
    <cellStyle name="Millares 7 2" xfId="2243" xr:uid="{00000000-0005-0000-0000-000047010000}"/>
    <cellStyle name="Millares 8" xfId="475" xr:uid="{00000000-0005-0000-0000-000048010000}"/>
    <cellStyle name="Millares 8 2" xfId="2244" xr:uid="{00000000-0005-0000-0000-000049010000}"/>
    <cellStyle name="Millares 9" xfId="476" xr:uid="{00000000-0005-0000-0000-00004A010000}"/>
    <cellStyle name="Millares 9 2" xfId="477" xr:uid="{00000000-0005-0000-0000-00004B010000}"/>
    <cellStyle name="Millares 9 2 2" xfId="478" xr:uid="{00000000-0005-0000-0000-00004C010000}"/>
    <cellStyle name="Millares 9 2 2 2" xfId="2247" xr:uid="{00000000-0005-0000-0000-00004D010000}"/>
    <cellStyle name="Millares 9 2 3" xfId="2246" xr:uid="{00000000-0005-0000-0000-00004E010000}"/>
    <cellStyle name="Millares 9 3" xfId="2245" xr:uid="{00000000-0005-0000-0000-00004F010000}"/>
    <cellStyle name="Moneda 2 2" xfId="479" xr:uid="{00000000-0005-0000-0000-000050010000}"/>
    <cellStyle name="Moneda 2 2 2" xfId="480" xr:uid="{00000000-0005-0000-0000-000051010000}"/>
    <cellStyle name="Moneda 2 2 2 2" xfId="481" xr:uid="{00000000-0005-0000-0000-000052010000}"/>
    <cellStyle name="Moneda 2 2 3" xfId="482" xr:uid="{00000000-0005-0000-0000-000053010000}"/>
    <cellStyle name="Moneda 2 3" xfId="483" xr:uid="{00000000-0005-0000-0000-000054010000}"/>
    <cellStyle name="Moneda 2 3 2" xfId="484" xr:uid="{00000000-0005-0000-0000-000055010000}"/>
    <cellStyle name="Moneda 2 3 2 2" xfId="485" xr:uid="{00000000-0005-0000-0000-000056010000}"/>
    <cellStyle name="Moneda 2 3 3" xfId="486" xr:uid="{00000000-0005-0000-0000-000057010000}"/>
    <cellStyle name="Moneda 2 4" xfId="487" xr:uid="{00000000-0005-0000-0000-000058010000}"/>
    <cellStyle name="Moneda 2 4 2" xfId="488" xr:uid="{00000000-0005-0000-0000-000059010000}"/>
    <cellStyle name="Moneda 2 4 2 2" xfId="489" xr:uid="{00000000-0005-0000-0000-00005A010000}"/>
    <cellStyle name="Moneda 2 4 3" xfId="490" xr:uid="{00000000-0005-0000-0000-00005B010000}"/>
    <cellStyle name="Normal" xfId="0" builtinId="0"/>
    <cellStyle name="Normal 10" xfId="34" xr:uid="{00000000-0005-0000-0000-00005D010000}"/>
    <cellStyle name="Normal 10 10" xfId="35" xr:uid="{00000000-0005-0000-0000-00005E010000}"/>
    <cellStyle name="Normal 10 10 2" xfId="491" xr:uid="{00000000-0005-0000-0000-00005F010000}"/>
    <cellStyle name="Normal 10 10 2 2" xfId="492" xr:uid="{00000000-0005-0000-0000-000060010000}"/>
    <cellStyle name="Normal 10 10 2 3" xfId="493" xr:uid="{00000000-0005-0000-0000-000061010000}"/>
    <cellStyle name="Normal 10 10 3" xfId="494" xr:uid="{00000000-0005-0000-0000-000062010000}"/>
    <cellStyle name="Normal 10 10 3 2" xfId="495" xr:uid="{00000000-0005-0000-0000-000063010000}"/>
    <cellStyle name="Normal 10 10 3 3" xfId="496" xr:uid="{00000000-0005-0000-0000-000064010000}"/>
    <cellStyle name="Normal 10 10 4" xfId="497" xr:uid="{00000000-0005-0000-0000-000065010000}"/>
    <cellStyle name="Normal 10 10 5" xfId="498" xr:uid="{00000000-0005-0000-0000-000066010000}"/>
    <cellStyle name="Normal 10 10 6" xfId="499" xr:uid="{00000000-0005-0000-0000-000067010000}"/>
    <cellStyle name="Normal 10 10 7" xfId="500" xr:uid="{00000000-0005-0000-0000-000068010000}"/>
    <cellStyle name="Normal 10 10_Consolidado" xfId="501" xr:uid="{00000000-0005-0000-0000-000069010000}"/>
    <cellStyle name="Normal 10 11" xfId="36" xr:uid="{00000000-0005-0000-0000-00006A010000}"/>
    <cellStyle name="Normal 10 11 2" xfId="502" xr:uid="{00000000-0005-0000-0000-00006B010000}"/>
    <cellStyle name="Normal 10 11 2 2" xfId="503" xr:uid="{00000000-0005-0000-0000-00006C010000}"/>
    <cellStyle name="Normal 10 11 2 3" xfId="504" xr:uid="{00000000-0005-0000-0000-00006D010000}"/>
    <cellStyle name="Normal 10 11 3" xfId="505" xr:uid="{00000000-0005-0000-0000-00006E010000}"/>
    <cellStyle name="Normal 10 11 3 2" xfId="506" xr:uid="{00000000-0005-0000-0000-00006F010000}"/>
    <cellStyle name="Normal 10 11 3 3" xfId="507" xr:uid="{00000000-0005-0000-0000-000070010000}"/>
    <cellStyle name="Normal 10 11 4" xfId="508" xr:uid="{00000000-0005-0000-0000-000071010000}"/>
    <cellStyle name="Normal 10 11 5" xfId="509" xr:uid="{00000000-0005-0000-0000-000072010000}"/>
    <cellStyle name="Normal 10 11 6" xfId="510" xr:uid="{00000000-0005-0000-0000-000073010000}"/>
    <cellStyle name="Normal 10 11 7" xfId="511" xr:uid="{00000000-0005-0000-0000-000074010000}"/>
    <cellStyle name="Normal 10 11_Consolidado" xfId="512" xr:uid="{00000000-0005-0000-0000-000075010000}"/>
    <cellStyle name="Normal 10 12" xfId="37" xr:uid="{00000000-0005-0000-0000-000076010000}"/>
    <cellStyle name="Normal 10 12 2" xfId="513" xr:uid="{00000000-0005-0000-0000-000077010000}"/>
    <cellStyle name="Normal 10 12 2 2" xfId="514" xr:uid="{00000000-0005-0000-0000-000078010000}"/>
    <cellStyle name="Normal 10 12 2 3" xfId="515" xr:uid="{00000000-0005-0000-0000-000079010000}"/>
    <cellStyle name="Normal 10 12 3" xfId="516" xr:uid="{00000000-0005-0000-0000-00007A010000}"/>
    <cellStyle name="Normal 10 12 3 2" xfId="517" xr:uid="{00000000-0005-0000-0000-00007B010000}"/>
    <cellStyle name="Normal 10 12 3 3" xfId="518" xr:uid="{00000000-0005-0000-0000-00007C010000}"/>
    <cellStyle name="Normal 10 12 4" xfId="519" xr:uid="{00000000-0005-0000-0000-00007D010000}"/>
    <cellStyle name="Normal 10 12 5" xfId="520" xr:uid="{00000000-0005-0000-0000-00007E010000}"/>
    <cellStyle name="Normal 10 12 6" xfId="521" xr:uid="{00000000-0005-0000-0000-00007F010000}"/>
    <cellStyle name="Normal 10 12 7" xfId="522" xr:uid="{00000000-0005-0000-0000-000080010000}"/>
    <cellStyle name="Normal 10 12_Consolidado" xfId="523" xr:uid="{00000000-0005-0000-0000-000081010000}"/>
    <cellStyle name="Normal 10 13" xfId="38" xr:uid="{00000000-0005-0000-0000-000082010000}"/>
    <cellStyle name="Normal 10 13 2" xfId="524" xr:uid="{00000000-0005-0000-0000-000083010000}"/>
    <cellStyle name="Normal 10 13 2 2" xfId="525" xr:uid="{00000000-0005-0000-0000-000084010000}"/>
    <cellStyle name="Normal 10 13 2 3" xfId="526" xr:uid="{00000000-0005-0000-0000-000085010000}"/>
    <cellStyle name="Normal 10 13 3" xfId="527" xr:uid="{00000000-0005-0000-0000-000086010000}"/>
    <cellStyle name="Normal 10 13 3 2" xfId="528" xr:uid="{00000000-0005-0000-0000-000087010000}"/>
    <cellStyle name="Normal 10 13 3 3" xfId="529" xr:uid="{00000000-0005-0000-0000-000088010000}"/>
    <cellStyle name="Normal 10 13 4" xfId="530" xr:uid="{00000000-0005-0000-0000-000089010000}"/>
    <cellStyle name="Normal 10 13 5" xfId="531" xr:uid="{00000000-0005-0000-0000-00008A010000}"/>
    <cellStyle name="Normal 10 13 6" xfId="532" xr:uid="{00000000-0005-0000-0000-00008B010000}"/>
    <cellStyle name="Normal 10 13 7" xfId="533" xr:uid="{00000000-0005-0000-0000-00008C010000}"/>
    <cellStyle name="Normal 10 13_Consolidado" xfId="534" xr:uid="{00000000-0005-0000-0000-00008D010000}"/>
    <cellStyle name="Normal 10 14" xfId="39" xr:uid="{00000000-0005-0000-0000-00008E010000}"/>
    <cellStyle name="Normal 10 14 2" xfId="535" xr:uid="{00000000-0005-0000-0000-00008F010000}"/>
    <cellStyle name="Normal 10 14 2 2" xfId="536" xr:uid="{00000000-0005-0000-0000-000090010000}"/>
    <cellStyle name="Normal 10 14 2 3" xfId="537" xr:uid="{00000000-0005-0000-0000-000091010000}"/>
    <cellStyle name="Normal 10 14 3" xfId="538" xr:uid="{00000000-0005-0000-0000-000092010000}"/>
    <cellStyle name="Normal 10 14 3 2" xfId="539" xr:uid="{00000000-0005-0000-0000-000093010000}"/>
    <cellStyle name="Normal 10 14 3 3" xfId="540" xr:uid="{00000000-0005-0000-0000-000094010000}"/>
    <cellStyle name="Normal 10 14 4" xfId="541" xr:uid="{00000000-0005-0000-0000-000095010000}"/>
    <cellStyle name="Normal 10 14 5" xfId="542" xr:uid="{00000000-0005-0000-0000-000096010000}"/>
    <cellStyle name="Normal 10 14 6" xfId="543" xr:uid="{00000000-0005-0000-0000-000097010000}"/>
    <cellStyle name="Normal 10 14 7" xfId="544" xr:uid="{00000000-0005-0000-0000-000098010000}"/>
    <cellStyle name="Normal 10 14_Consolidado" xfId="545" xr:uid="{00000000-0005-0000-0000-000099010000}"/>
    <cellStyle name="Normal 10 15" xfId="40" xr:uid="{00000000-0005-0000-0000-00009A010000}"/>
    <cellStyle name="Normal 10 15 2" xfId="546" xr:uid="{00000000-0005-0000-0000-00009B010000}"/>
    <cellStyle name="Normal 10 15 3" xfId="547" xr:uid="{00000000-0005-0000-0000-00009C010000}"/>
    <cellStyle name="Normal 10 16" xfId="41" xr:uid="{00000000-0005-0000-0000-00009D010000}"/>
    <cellStyle name="Normal 10 16 2" xfId="548" xr:uid="{00000000-0005-0000-0000-00009E010000}"/>
    <cellStyle name="Normal 10 16 3" xfId="549" xr:uid="{00000000-0005-0000-0000-00009F010000}"/>
    <cellStyle name="Normal 10 17" xfId="42" xr:uid="{00000000-0005-0000-0000-0000A0010000}"/>
    <cellStyle name="Normal 10 17 2" xfId="550" xr:uid="{00000000-0005-0000-0000-0000A1010000}"/>
    <cellStyle name="Normal 10 17 3" xfId="551" xr:uid="{00000000-0005-0000-0000-0000A2010000}"/>
    <cellStyle name="Normal 10 18" xfId="43" xr:uid="{00000000-0005-0000-0000-0000A3010000}"/>
    <cellStyle name="Normal 10 18 2" xfId="552" xr:uid="{00000000-0005-0000-0000-0000A4010000}"/>
    <cellStyle name="Normal 10 18 3" xfId="553" xr:uid="{00000000-0005-0000-0000-0000A5010000}"/>
    <cellStyle name="Normal 10 19" xfId="44" xr:uid="{00000000-0005-0000-0000-0000A6010000}"/>
    <cellStyle name="Normal 10 19 2" xfId="554" xr:uid="{00000000-0005-0000-0000-0000A7010000}"/>
    <cellStyle name="Normal 10 19 3" xfId="555" xr:uid="{00000000-0005-0000-0000-0000A8010000}"/>
    <cellStyle name="Normal 10 2" xfId="45" xr:uid="{00000000-0005-0000-0000-0000A9010000}"/>
    <cellStyle name="Normal 10 2 2" xfId="556" xr:uid="{00000000-0005-0000-0000-0000AA010000}"/>
    <cellStyle name="Normal 10 2 2 2" xfId="557" xr:uid="{00000000-0005-0000-0000-0000AB010000}"/>
    <cellStyle name="Normal 10 2 2 3" xfId="558" xr:uid="{00000000-0005-0000-0000-0000AC010000}"/>
    <cellStyle name="Normal 10 2 3" xfId="559" xr:uid="{00000000-0005-0000-0000-0000AD010000}"/>
    <cellStyle name="Normal 10 2 3 2" xfId="560" xr:uid="{00000000-0005-0000-0000-0000AE010000}"/>
    <cellStyle name="Normal 10 2 3 3" xfId="561" xr:uid="{00000000-0005-0000-0000-0000AF010000}"/>
    <cellStyle name="Normal 10 2 4" xfId="562" xr:uid="{00000000-0005-0000-0000-0000B0010000}"/>
    <cellStyle name="Normal 10 2 5" xfId="563" xr:uid="{00000000-0005-0000-0000-0000B1010000}"/>
    <cellStyle name="Normal 10 2 6" xfId="564" xr:uid="{00000000-0005-0000-0000-0000B2010000}"/>
    <cellStyle name="Normal 10 2 7" xfId="565" xr:uid="{00000000-0005-0000-0000-0000B3010000}"/>
    <cellStyle name="Normal 10 2_Consolidado" xfId="566" xr:uid="{00000000-0005-0000-0000-0000B4010000}"/>
    <cellStyle name="Normal 10 20" xfId="567" xr:uid="{00000000-0005-0000-0000-0000B5010000}"/>
    <cellStyle name="Normal 10 20 2" xfId="568" xr:uid="{00000000-0005-0000-0000-0000B6010000}"/>
    <cellStyle name="Normal 10 20 3" xfId="569" xr:uid="{00000000-0005-0000-0000-0000B7010000}"/>
    <cellStyle name="Normal 10 21" xfId="570" xr:uid="{00000000-0005-0000-0000-0000B8010000}"/>
    <cellStyle name="Normal 10 21 2" xfId="571" xr:uid="{00000000-0005-0000-0000-0000B9010000}"/>
    <cellStyle name="Normal 10 21 3" xfId="572" xr:uid="{00000000-0005-0000-0000-0000BA010000}"/>
    <cellStyle name="Normal 10 22" xfId="573" xr:uid="{00000000-0005-0000-0000-0000BB010000}"/>
    <cellStyle name="Normal 10 23" xfId="574" xr:uid="{00000000-0005-0000-0000-0000BC010000}"/>
    <cellStyle name="Normal 10 24" xfId="575" xr:uid="{00000000-0005-0000-0000-0000BD010000}"/>
    <cellStyle name="Normal 10 25" xfId="576" xr:uid="{00000000-0005-0000-0000-0000BE010000}"/>
    <cellStyle name="Normal 10 3" xfId="46" xr:uid="{00000000-0005-0000-0000-0000BF010000}"/>
    <cellStyle name="Normal 10 3 2" xfId="577" xr:uid="{00000000-0005-0000-0000-0000C0010000}"/>
    <cellStyle name="Normal 10 3 2 2" xfId="578" xr:uid="{00000000-0005-0000-0000-0000C1010000}"/>
    <cellStyle name="Normal 10 3 2 3" xfId="579" xr:uid="{00000000-0005-0000-0000-0000C2010000}"/>
    <cellStyle name="Normal 10 3 3" xfId="580" xr:uid="{00000000-0005-0000-0000-0000C3010000}"/>
    <cellStyle name="Normal 10 3 3 2" xfId="581" xr:uid="{00000000-0005-0000-0000-0000C4010000}"/>
    <cellStyle name="Normal 10 3 3 3" xfId="582" xr:uid="{00000000-0005-0000-0000-0000C5010000}"/>
    <cellStyle name="Normal 10 3 4" xfId="583" xr:uid="{00000000-0005-0000-0000-0000C6010000}"/>
    <cellStyle name="Normal 10 3 5" xfId="584" xr:uid="{00000000-0005-0000-0000-0000C7010000}"/>
    <cellStyle name="Normal 10 3 6" xfId="585" xr:uid="{00000000-0005-0000-0000-0000C8010000}"/>
    <cellStyle name="Normal 10 3 7" xfId="586" xr:uid="{00000000-0005-0000-0000-0000C9010000}"/>
    <cellStyle name="Normal 10 3_Consolidado" xfId="587" xr:uid="{00000000-0005-0000-0000-0000CA010000}"/>
    <cellStyle name="Normal 10 4" xfId="47" xr:uid="{00000000-0005-0000-0000-0000CB010000}"/>
    <cellStyle name="Normal 10 4 2" xfId="588" xr:uid="{00000000-0005-0000-0000-0000CC010000}"/>
    <cellStyle name="Normal 10 4 2 2" xfId="589" xr:uid="{00000000-0005-0000-0000-0000CD010000}"/>
    <cellStyle name="Normal 10 4 2 3" xfId="590" xr:uid="{00000000-0005-0000-0000-0000CE010000}"/>
    <cellStyle name="Normal 10 4 3" xfId="591" xr:uid="{00000000-0005-0000-0000-0000CF010000}"/>
    <cellStyle name="Normal 10 4 3 2" xfId="592" xr:uid="{00000000-0005-0000-0000-0000D0010000}"/>
    <cellStyle name="Normal 10 4 3 3" xfId="593" xr:uid="{00000000-0005-0000-0000-0000D1010000}"/>
    <cellStyle name="Normal 10 4 4" xfId="594" xr:uid="{00000000-0005-0000-0000-0000D2010000}"/>
    <cellStyle name="Normal 10 4 5" xfId="595" xr:uid="{00000000-0005-0000-0000-0000D3010000}"/>
    <cellStyle name="Normal 10 4 6" xfId="596" xr:uid="{00000000-0005-0000-0000-0000D4010000}"/>
    <cellStyle name="Normal 10 4 7" xfId="597" xr:uid="{00000000-0005-0000-0000-0000D5010000}"/>
    <cellStyle name="Normal 10 4_Consolidado" xfId="598" xr:uid="{00000000-0005-0000-0000-0000D6010000}"/>
    <cellStyle name="Normal 10 5" xfId="48" xr:uid="{00000000-0005-0000-0000-0000D7010000}"/>
    <cellStyle name="Normal 10 5 2" xfId="599" xr:uid="{00000000-0005-0000-0000-0000D8010000}"/>
    <cellStyle name="Normal 10 5 2 2" xfId="600" xr:uid="{00000000-0005-0000-0000-0000D9010000}"/>
    <cellStyle name="Normal 10 5 2 3" xfId="601" xr:uid="{00000000-0005-0000-0000-0000DA010000}"/>
    <cellStyle name="Normal 10 5 3" xfId="602" xr:uid="{00000000-0005-0000-0000-0000DB010000}"/>
    <cellStyle name="Normal 10 5 3 2" xfId="603" xr:uid="{00000000-0005-0000-0000-0000DC010000}"/>
    <cellStyle name="Normal 10 5 3 3" xfId="604" xr:uid="{00000000-0005-0000-0000-0000DD010000}"/>
    <cellStyle name="Normal 10 5 4" xfId="605" xr:uid="{00000000-0005-0000-0000-0000DE010000}"/>
    <cellStyle name="Normal 10 5 5" xfId="606" xr:uid="{00000000-0005-0000-0000-0000DF010000}"/>
    <cellStyle name="Normal 10 5 6" xfId="607" xr:uid="{00000000-0005-0000-0000-0000E0010000}"/>
    <cellStyle name="Normal 10 5 7" xfId="608" xr:uid="{00000000-0005-0000-0000-0000E1010000}"/>
    <cellStyle name="Normal 10 5_Consolidado" xfId="609" xr:uid="{00000000-0005-0000-0000-0000E2010000}"/>
    <cellStyle name="Normal 10 6" xfId="49" xr:uid="{00000000-0005-0000-0000-0000E3010000}"/>
    <cellStyle name="Normal 10 6 2" xfId="610" xr:uid="{00000000-0005-0000-0000-0000E4010000}"/>
    <cellStyle name="Normal 10 6 2 2" xfId="611" xr:uid="{00000000-0005-0000-0000-0000E5010000}"/>
    <cellStyle name="Normal 10 6 2 3" xfId="612" xr:uid="{00000000-0005-0000-0000-0000E6010000}"/>
    <cellStyle name="Normal 10 6 3" xfId="613" xr:uid="{00000000-0005-0000-0000-0000E7010000}"/>
    <cellStyle name="Normal 10 6 3 2" xfId="614" xr:uid="{00000000-0005-0000-0000-0000E8010000}"/>
    <cellStyle name="Normal 10 6 3 3" xfId="615" xr:uid="{00000000-0005-0000-0000-0000E9010000}"/>
    <cellStyle name="Normal 10 6 4" xfId="616" xr:uid="{00000000-0005-0000-0000-0000EA010000}"/>
    <cellStyle name="Normal 10 6 5" xfId="617" xr:uid="{00000000-0005-0000-0000-0000EB010000}"/>
    <cellStyle name="Normal 10 6 6" xfId="618" xr:uid="{00000000-0005-0000-0000-0000EC010000}"/>
    <cellStyle name="Normal 10 6 7" xfId="619" xr:uid="{00000000-0005-0000-0000-0000ED010000}"/>
    <cellStyle name="Normal 10 6_Consolidado" xfId="620" xr:uid="{00000000-0005-0000-0000-0000EE010000}"/>
    <cellStyle name="Normal 10 7" xfId="50" xr:uid="{00000000-0005-0000-0000-0000EF010000}"/>
    <cellStyle name="Normal 10 7 2" xfId="621" xr:uid="{00000000-0005-0000-0000-0000F0010000}"/>
    <cellStyle name="Normal 10 7 2 2" xfId="622" xr:uid="{00000000-0005-0000-0000-0000F1010000}"/>
    <cellStyle name="Normal 10 7 2 3" xfId="623" xr:uid="{00000000-0005-0000-0000-0000F2010000}"/>
    <cellStyle name="Normal 10 7 3" xfId="624" xr:uid="{00000000-0005-0000-0000-0000F3010000}"/>
    <cellStyle name="Normal 10 7 3 2" xfId="625" xr:uid="{00000000-0005-0000-0000-0000F4010000}"/>
    <cellStyle name="Normal 10 7 3 3" xfId="626" xr:uid="{00000000-0005-0000-0000-0000F5010000}"/>
    <cellStyle name="Normal 10 7 4" xfId="627" xr:uid="{00000000-0005-0000-0000-0000F6010000}"/>
    <cellStyle name="Normal 10 7 5" xfId="628" xr:uid="{00000000-0005-0000-0000-0000F7010000}"/>
    <cellStyle name="Normal 10 7 6" xfId="629" xr:uid="{00000000-0005-0000-0000-0000F8010000}"/>
    <cellStyle name="Normal 10 7 7" xfId="630" xr:uid="{00000000-0005-0000-0000-0000F9010000}"/>
    <cellStyle name="Normal 10 7_Consolidado" xfId="631" xr:uid="{00000000-0005-0000-0000-0000FA010000}"/>
    <cellStyle name="Normal 10 8" xfId="51" xr:uid="{00000000-0005-0000-0000-0000FB010000}"/>
    <cellStyle name="Normal 10 8 2" xfId="632" xr:uid="{00000000-0005-0000-0000-0000FC010000}"/>
    <cellStyle name="Normal 10 8 2 2" xfId="633" xr:uid="{00000000-0005-0000-0000-0000FD010000}"/>
    <cellStyle name="Normal 10 8 2 3" xfId="634" xr:uid="{00000000-0005-0000-0000-0000FE010000}"/>
    <cellStyle name="Normal 10 8 3" xfId="635" xr:uid="{00000000-0005-0000-0000-0000FF010000}"/>
    <cellStyle name="Normal 10 8 3 2" xfId="636" xr:uid="{00000000-0005-0000-0000-000000020000}"/>
    <cellStyle name="Normal 10 8 3 3" xfId="637" xr:uid="{00000000-0005-0000-0000-000001020000}"/>
    <cellStyle name="Normal 10 8 4" xfId="638" xr:uid="{00000000-0005-0000-0000-000002020000}"/>
    <cellStyle name="Normal 10 8 5" xfId="639" xr:uid="{00000000-0005-0000-0000-000003020000}"/>
    <cellStyle name="Normal 10 8 6" xfId="640" xr:uid="{00000000-0005-0000-0000-000004020000}"/>
    <cellStyle name="Normal 10 8 7" xfId="641" xr:uid="{00000000-0005-0000-0000-000005020000}"/>
    <cellStyle name="Normal 10 8_Consolidado" xfId="642" xr:uid="{00000000-0005-0000-0000-000006020000}"/>
    <cellStyle name="Normal 10 9" xfId="52" xr:uid="{00000000-0005-0000-0000-000007020000}"/>
    <cellStyle name="Normal 10 9 2" xfId="643" xr:uid="{00000000-0005-0000-0000-000008020000}"/>
    <cellStyle name="Normal 10 9 2 2" xfId="644" xr:uid="{00000000-0005-0000-0000-000009020000}"/>
    <cellStyle name="Normal 10 9 2 3" xfId="645" xr:uid="{00000000-0005-0000-0000-00000A020000}"/>
    <cellStyle name="Normal 10 9 3" xfId="646" xr:uid="{00000000-0005-0000-0000-00000B020000}"/>
    <cellStyle name="Normal 10 9 3 2" xfId="647" xr:uid="{00000000-0005-0000-0000-00000C020000}"/>
    <cellStyle name="Normal 10 9 3 3" xfId="648" xr:uid="{00000000-0005-0000-0000-00000D020000}"/>
    <cellStyle name="Normal 10 9 4" xfId="649" xr:uid="{00000000-0005-0000-0000-00000E020000}"/>
    <cellStyle name="Normal 10 9 5" xfId="650" xr:uid="{00000000-0005-0000-0000-00000F020000}"/>
    <cellStyle name="Normal 10 9 6" xfId="651" xr:uid="{00000000-0005-0000-0000-000010020000}"/>
    <cellStyle name="Normal 10 9 7" xfId="652" xr:uid="{00000000-0005-0000-0000-000011020000}"/>
    <cellStyle name="Normal 10 9_Consolidado" xfId="653" xr:uid="{00000000-0005-0000-0000-000012020000}"/>
    <cellStyle name="Normal 10_Consolidado" xfId="654" xr:uid="{00000000-0005-0000-0000-000013020000}"/>
    <cellStyle name="Normal 11" xfId="53" xr:uid="{00000000-0005-0000-0000-000014020000}"/>
    <cellStyle name="Normal 11 10" xfId="54" xr:uid="{00000000-0005-0000-0000-000015020000}"/>
    <cellStyle name="Normal 11 10 2" xfId="655" xr:uid="{00000000-0005-0000-0000-000016020000}"/>
    <cellStyle name="Normal 11 10 2 2" xfId="656" xr:uid="{00000000-0005-0000-0000-000017020000}"/>
    <cellStyle name="Normal 11 10 2 3" xfId="657" xr:uid="{00000000-0005-0000-0000-000018020000}"/>
    <cellStyle name="Normal 11 10 3" xfId="658" xr:uid="{00000000-0005-0000-0000-000019020000}"/>
    <cellStyle name="Normal 11 10 3 2" xfId="659" xr:uid="{00000000-0005-0000-0000-00001A020000}"/>
    <cellStyle name="Normal 11 10 3 3" xfId="660" xr:uid="{00000000-0005-0000-0000-00001B020000}"/>
    <cellStyle name="Normal 11 10 4" xfId="661" xr:uid="{00000000-0005-0000-0000-00001C020000}"/>
    <cellStyle name="Normal 11 10 5" xfId="662" xr:uid="{00000000-0005-0000-0000-00001D020000}"/>
    <cellStyle name="Normal 11 10 6" xfId="663" xr:uid="{00000000-0005-0000-0000-00001E020000}"/>
    <cellStyle name="Normal 11 10 7" xfId="664" xr:uid="{00000000-0005-0000-0000-00001F020000}"/>
    <cellStyle name="Normal 11 10_Consolidado" xfId="665" xr:uid="{00000000-0005-0000-0000-000020020000}"/>
    <cellStyle name="Normal 11 11" xfId="55" xr:uid="{00000000-0005-0000-0000-000021020000}"/>
    <cellStyle name="Normal 11 11 2" xfId="666" xr:uid="{00000000-0005-0000-0000-000022020000}"/>
    <cellStyle name="Normal 11 11 2 2" xfId="667" xr:uid="{00000000-0005-0000-0000-000023020000}"/>
    <cellStyle name="Normal 11 11 2 3" xfId="668" xr:uid="{00000000-0005-0000-0000-000024020000}"/>
    <cellStyle name="Normal 11 11 3" xfId="669" xr:uid="{00000000-0005-0000-0000-000025020000}"/>
    <cellStyle name="Normal 11 11 3 2" xfId="670" xr:uid="{00000000-0005-0000-0000-000026020000}"/>
    <cellStyle name="Normal 11 11 3 3" xfId="671" xr:uid="{00000000-0005-0000-0000-000027020000}"/>
    <cellStyle name="Normal 11 11 4" xfId="672" xr:uid="{00000000-0005-0000-0000-000028020000}"/>
    <cellStyle name="Normal 11 11 5" xfId="673" xr:uid="{00000000-0005-0000-0000-000029020000}"/>
    <cellStyle name="Normal 11 11 6" xfId="674" xr:uid="{00000000-0005-0000-0000-00002A020000}"/>
    <cellStyle name="Normal 11 11 7" xfId="675" xr:uid="{00000000-0005-0000-0000-00002B020000}"/>
    <cellStyle name="Normal 11 11_Consolidado" xfId="676" xr:uid="{00000000-0005-0000-0000-00002C020000}"/>
    <cellStyle name="Normal 11 12" xfId="56" xr:uid="{00000000-0005-0000-0000-00002D020000}"/>
    <cellStyle name="Normal 11 12 2" xfId="677" xr:uid="{00000000-0005-0000-0000-00002E020000}"/>
    <cellStyle name="Normal 11 12 2 2" xfId="678" xr:uid="{00000000-0005-0000-0000-00002F020000}"/>
    <cellStyle name="Normal 11 12 2 3" xfId="679" xr:uid="{00000000-0005-0000-0000-000030020000}"/>
    <cellStyle name="Normal 11 12 3" xfId="680" xr:uid="{00000000-0005-0000-0000-000031020000}"/>
    <cellStyle name="Normal 11 12 3 2" xfId="681" xr:uid="{00000000-0005-0000-0000-000032020000}"/>
    <cellStyle name="Normal 11 12 3 3" xfId="682" xr:uid="{00000000-0005-0000-0000-000033020000}"/>
    <cellStyle name="Normal 11 12 4" xfId="683" xr:uid="{00000000-0005-0000-0000-000034020000}"/>
    <cellStyle name="Normal 11 12 5" xfId="684" xr:uid="{00000000-0005-0000-0000-000035020000}"/>
    <cellStyle name="Normal 11 12 6" xfId="685" xr:uid="{00000000-0005-0000-0000-000036020000}"/>
    <cellStyle name="Normal 11 12 7" xfId="686" xr:uid="{00000000-0005-0000-0000-000037020000}"/>
    <cellStyle name="Normal 11 12_Consolidado" xfId="687" xr:uid="{00000000-0005-0000-0000-000038020000}"/>
    <cellStyle name="Normal 11 13" xfId="57" xr:uid="{00000000-0005-0000-0000-000039020000}"/>
    <cellStyle name="Normal 11 13 2" xfId="688" xr:uid="{00000000-0005-0000-0000-00003A020000}"/>
    <cellStyle name="Normal 11 13 2 2" xfId="689" xr:uid="{00000000-0005-0000-0000-00003B020000}"/>
    <cellStyle name="Normal 11 13 2 3" xfId="690" xr:uid="{00000000-0005-0000-0000-00003C020000}"/>
    <cellStyle name="Normal 11 13 3" xfId="691" xr:uid="{00000000-0005-0000-0000-00003D020000}"/>
    <cellStyle name="Normal 11 13 3 2" xfId="692" xr:uid="{00000000-0005-0000-0000-00003E020000}"/>
    <cellStyle name="Normal 11 13 3 3" xfId="693" xr:uid="{00000000-0005-0000-0000-00003F020000}"/>
    <cellStyle name="Normal 11 13 4" xfId="694" xr:uid="{00000000-0005-0000-0000-000040020000}"/>
    <cellStyle name="Normal 11 13 5" xfId="695" xr:uid="{00000000-0005-0000-0000-000041020000}"/>
    <cellStyle name="Normal 11 13 6" xfId="696" xr:uid="{00000000-0005-0000-0000-000042020000}"/>
    <cellStyle name="Normal 11 13 7" xfId="697" xr:uid="{00000000-0005-0000-0000-000043020000}"/>
    <cellStyle name="Normal 11 13_Consolidado" xfId="698" xr:uid="{00000000-0005-0000-0000-000044020000}"/>
    <cellStyle name="Normal 11 14" xfId="58" xr:uid="{00000000-0005-0000-0000-000045020000}"/>
    <cellStyle name="Normal 11 14 2" xfId="699" xr:uid="{00000000-0005-0000-0000-000046020000}"/>
    <cellStyle name="Normal 11 14 2 2" xfId="700" xr:uid="{00000000-0005-0000-0000-000047020000}"/>
    <cellStyle name="Normal 11 14 2 3" xfId="701" xr:uid="{00000000-0005-0000-0000-000048020000}"/>
    <cellStyle name="Normal 11 14 3" xfId="702" xr:uid="{00000000-0005-0000-0000-000049020000}"/>
    <cellStyle name="Normal 11 14 3 2" xfId="703" xr:uid="{00000000-0005-0000-0000-00004A020000}"/>
    <cellStyle name="Normal 11 14 3 3" xfId="704" xr:uid="{00000000-0005-0000-0000-00004B020000}"/>
    <cellStyle name="Normal 11 14 4" xfId="705" xr:uid="{00000000-0005-0000-0000-00004C020000}"/>
    <cellStyle name="Normal 11 14 5" xfId="706" xr:uid="{00000000-0005-0000-0000-00004D020000}"/>
    <cellStyle name="Normal 11 14 6" xfId="707" xr:uid="{00000000-0005-0000-0000-00004E020000}"/>
    <cellStyle name="Normal 11 14 7" xfId="708" xr:uid="{00000000-0005-0000-0000-00004F020000}"/>
    <cellStyle name="Normal 11 14_Consolidado" xfId="709" xr:uid="{00000000-0005-0000-0000-000050020000}"/>
    <cellStyle name="Normal 11 15" xfId="59" xr:uid="{00000000-0005-0000-0000-000051020000}"/>
    <cellStyle name="Normal 11 15 2" xfId="710" xr:uid="{00000000-0005-0000-0000-000052020000}"/>
    <cellStyle name="Normal 11 15 3" xfId="711" xr:uid="{00000000-0005-0000-0000-000053020000}"/>
    <cellStyle name="Normal 11 16" xfId="712" xr:uid="{00000000-0005-0000-0000-000054020000}"/>
    <cellStyle name="Normal 11 16 2" xfId="713" xr:uid="{00000000-0005-0000-0000-000055020000}"/>
    <cellStyle name="Normal 11 16 3" xfId="714" xr:uid="{00000000-0005-0000-0000-000056020000}"/>
    <cellStyle name="Normal 11 17" xfId="715" xr:uid="{00000000-0005-0000-0000-000057020000}"/>
    <cellStyle name="Normal 11 17 2" xfId="716" xr:uid="{00000000-0005-0000-0000-000058020000}"/>
    <cellStyle name="Normal 11 17 3" xfId="717" xr:uid="{00000000-0005-0000-0000-000059020000}"/>
    <cellStyle name="Normal 11 18" xfId="718" xr:uid="{00000000-0005-0000-0000-00005A020000}"/>
    <cellStyle name="Normal 11 19" xfId="719" xr:uid="{00000000-0005-0000-0000-00005B020000}"/>
    <cellStyle name="Normal 11 2" xfId="60" xr:uid="{00000000-0005-0000-0000-00005C020000}"/>
    <cellStyle name="Normal 11 2 2" xfId="720" xr:uid="{00000000-0005-0000-0000-00005D020000}"/>
    <cellStyle name="Normal 11 2 2 2" xfId="721" xr:uid="{00000000-0005-0000-0000-00005E020000}"/>
    <cellStyle name="Normal 11 2 2 3" xfId="722" xr:uid="{00000000-0005-0000-0000-00005F020000}"/>
    <cellStyle name="Normal 11 2 3" xfId="723" xr:uid="{00000000-0005-0000-0000-000060020000}"/>
    <cellStyle name="Normal 11 2 3 2" xfId="724" xr:uid="{00000000-0005-0000-0000-000061020000}"/>
    <cellStyle name="Normal 11 2 3 3" xfId="725" xr:uid="{00000000-0005-0000-0000-000062020000}"/>
    <cellStyle name="Normal 11 2 4" xfId="726" xr:uid="{00000000-0005-0000-0000-000063020000}"/>
    <cellStyle name="Normal 11 2 5" xfId="727" xr:uid="{00000000-0005-0000-0000-000064020000}"/>
    <cellStyle name="Normal 11 2 6" xfId="728" xr:uid="{00000000-0005-0000-0000-000065020000}"/>
    <cellStyle name="Normal 11 2 7" xfId="729" xr:uid="{00000000-0005-0000-0000-000066020000}"/>
    <cellStyle name="Normal 11 2_Consolidado" xfId="730" xr:uid="{00000000-0005-0000-0000-000067020000}"/>
    <cellStyle name="Normal 11 20" xfId="731" xr:uid="{00000000-0005-0000-0000-000068020000}"/>
    <cellStyle name="Normal 11 21" xfId="732" xr:uid="{00000000-0005-0000-0000-000069020000}"/>
    <cellStyle name="Normal 11 3" xfId="61" xr:uid="{00000000-0005-0000-0000-00006A020000}"/>
    <cellStyle name="Normal 11 3 2" xfId="733" xr:uid="{00000000-0005-0000-0000-00006B020000}"/>
    <cellStyle name="Normal 11 3 2 2" xfId="734" xr:uid="{00000000-0005-0000-0000-00006C020000}"/>
    <cellStyle name="Normal 11 3 2 3" xfId="735" xr:uid="{00000000-0005-0000-0000-00006D020000}"/>
    <cellStyle name="Normal 11 3 3" xfId="736" xr:uid="{00000000-0005-0000-0000-00006E020000}"/>
    <cellStyle name="Normal 11 3 3 2" xfId="737" xr:uid="{00000000-0005-0000-0000-00006F020000}"/>
    <cellStyle name="Normal 11 3 3 3" xfId="738" xr:uid="{00000000-0005-0000-0000-000070020000}"/>
    <cellStyle name="Normal 11 3 4" xfId="739" xr:uid="{00000000-0005-0000-0000-000071020000}"/>
    <cellStyle name="Normal 11 3 5" xfId="740" xr:uid="{00000000-0005-0000-0000-000072020000}"/>
    <cellStyle name="Normal 11 3 6" xfId="741" xr:uid="{00000000-0005-0000-0000-000073020000}"/>
    <cellStyle name="Normal 11 3 7" xfId="742" xr:uid="{00000000-0005-0000-0000-000074020000}"/>
    <cellStyle name="Normal 11 3_Consolidado" xfId="743" xr:uid="{00000000-0005-0000-0000-000075020000}"/>
    <cellStyle name="Normal 11 4" xfId="62" xr:uid="{00000000-0005-0000-0000-000076020000}"/>
    <cellStyle name="Normal 11 4 2" xfId="744" xr:uid="{00000000-0005-0000-0000-000077020000}"/>
    <cellStyle name="Normal 11 4 2 2" xfId="745" xr:uid="{00000000-0005-0000-0000-000078020000}"/>
    <cellStyle name="Normal 11 4 2 3" xfId="746" xr:uid="{00000000-0005-0000-0000-000079020000}"/>
    <cellStyle name="Normal 11 4 3" xfId="747" xr:uid="{00000000-0005-0000-0000-00007A020000}"/>
    <cellStyle name="Normal 11 4 3 2" xfId="748" xr:uid="{00000000-0005-0000-0000-00007B020000}"/>
    <cellStyle name="Normal 11 4 3 3" xfId="749" xr:uid="{00000000-0005-0000-0000-00007C020000}"/>
    <cellStyle name="Normal 11 4 4" xfId="750" xr:uid="{00000000-0005-0000-0000-00007D020000}"/>
    <cellStyle name="Normal 11 4 5" xfId="751" xr:uid="{00000000-0005-0000-0000-00007E020000}"/>
    <cellStyle name="Normal 11 4 6" xfId="752" xr:uid="{00000000-0005-0000-0000-00007F020000}"/>
    <cellStyle name="Normal 11 4 7" xfId="753" xr:uid="{00000000-0005-0000-0000-000080020000}"/>
    <cellStyle name="Normal 11 4_Consolidado" xfId="754" xr:uid="{00000000-0005-0000-0000-000081020000}"/>
    <cellStyle name="Normal 11 5" xfId="63" xr:uid="{00000000-0005-0000-0000-000082020000}"/>
    <cellStyle name="Normal 11 5 2" xfId="755" xr:uid="{00000000-0005-0000-0000-000083020000}"/>
    <cellStyle name="Normal 11 5 2 2" xfId="756" xr:uid="{00000000-0005-0000-0000-000084020000}"/>
    <cellStyle name="Normal 11 5 2 3" xfId="757" xr:uid="{00000000-0005-0000-0000-000085020000}"/>
    <cellStyle name="Normal 11 5 3" xfId="758" xr:uid="{00000000-0005-0000-0000-000086020000}"/>
    <cellStyle name="Normal 11 5 3 2" xfId="759" xr:uid="{00000000-0005-0000-0000-000087020000}"/>
    <cellStyle name="Normal 11 5 3 3" xfId="760" xr:uid="{00000000-0005-0000-0000-000088020000}"/>
    <cellStyle name="Normal 11 5 4" xfId="761" xr:uid="{00000000-0005-0000-0000-000089020000}"/>
    <cellStyle name="Normal 11 5 5" xfId="762" xr:uid="{00000000-0005-0000-0000-00008A020000}"/>
    <cellStyle name="Normal 11 5 6" xfId="763" xr:uid="{00000000-0005-0000-0000-00008B020000}"/>
    <cellStyle name="Normal 11 5 7" xfId="764" xr:uid="{00000000-0005-0000-0000-00008C020000}"/>
    <cellStyle name="Normal 11 5_Consolidado" xfId="765" xr:uid="{00000000-0005-0000-0000-00008D020000}"/>
    <cellStyle name="Normal 11 6" xfId="64" xr:uid="{00000000-0005-0000-0000-00008E020000}"/>
    <cellStyle name="Normal 11 6 2" xfId="766" xr:uid="{00000000-0005-0000-0000-00008F020000}"/>
    <cellStyle name="Normal 11 6 2 2" xfId="767" xr:uid="{00000000-0005-0000-0000-000090020000}"/>
    <cellStyle name="Normal 11 6 2 3" xfId="768" xr:uid="{00000000-0005-0000-0000-000091020000}"/>
    <cellStyle name="Normal 11 6 3" xfId="769" xr:uid="{00000000-0005-0000-0000-000092020000}"/>
    <cellStyle name="Normal 11 6 3 2" xfId="770" xr:uid="{00000000-0005-0000-0000-000093020000}"/>
    <cellStyle name="Normal 11 6 3 3" xfId="771" xr:uid="{00000000-0005-0000-0000-000094020000}"/>
    <cellStyle name="Normal 11 6 4" xfId="772" xr:uid="{00000000-0005-0000-0000-000095020000}"/>
    <cellStyle name="Normal 11 6 5" xfId="773" xr:uid="{00000000-0005-0000-0000-000096020000}"/>
    <cellStyle name="Normal 11 6 6" xfId="774" xr:uid="{00000000-0005-0000-0000-000097020000}"/>
    <cellStyle name="Normal 11 6 7" xfId="775" xr:uid="{00000000-0005-0000-0000-000098020000}"/>
    <cellStyle name="Normal 11 6_Consolidado" xfId="776" xr:uid="{00000000-0005-0000-0000-000099020000}"/>
    <cellStyle name="Normal 11 7" xfId="65" xr:uid="{00000000-0005-0000-0000-00009A020000}"/>
    <cellStyle name="Normal 11 7 2" xfId="777" xr:uid="{00000000-0005-0000-0000-00009B020000}"/>
    <cellStyle name="Normal 11 7 2 2" xfId="778" xr:uid="{00000000-0005-0000-0000-00009C020000}"/>
    <cellStyle name="Normal 11 7 2 3" xfId="779" xr:uid="{00000000-0005-0000-0000-00009D020000}"/>
    <cellStyle name="Normal 11 7 3" xfId="780" xr:uid="{00000000-0005-0000-0000-00009E020000}"/>
    <cellStyle name="Normal 11 7 3 2" xfId="781" xr:uid="{00000000-0005-0000-0000-00009F020000}"/>
    <cellStyle name="Normal 11 7 3 3" xfId="782" xr:uid="{00000000-0005-0000-0000-0000A0020000}"/>
    <cellStyle name="Normal 11 7 4" xfId="783" xr:uid="{00000000-0005-0000-0000-0000A1020000}"/>
    <cellStyle name="Normal 11 7 5" xfId="784" xr:uid="{00000000-0005-0000-0000-0000A2020000}"/>
    <cellStyle name="Normal 11 7 6" xfId="785" xr:uid="{00000000-0005-0000-0000-0000A3020000}"/>
    <cellStyle name="Normal 11 7 7" xfId="786" xr:uid="{00000000-0005-0000-0000-0000A4020000}"/>
    <cellStyle name="Normal 11 7_Consolidado" xfId="787" xr:uid="{00000000-0005-0000-0000-0000A5020000}"/>
    <cellStyle name="Normal 11 8" xfId="66" xr:uid="{00000000-0005-0000-0000-0000A6020000}"/>
    <cellStyle name="Normal 11 8 2" xfId="788" xr:uid="{00000000-0005-0000-0000-0000A7020000}"/>
    <cellStyle name="Normal 11 8 2 2" xfId="789" xr:uid="{00000000-0005-0000-0000-0000A8020000}"/>
    <cellStyle name="Normal 11 8 2 3" xfId="790" xr:uid="{00000000-0005-0000-0000-0000A9020000}"/>
    <cellStyle name="Normal 11 8 3" xfId="791" xr:uid="{00000000-0005-0000-0000-0000AA020000}"/>
    <cellStyle name="Normal 11 8 3 2" xfId="792" xr:uid="{00000000-0005-0000-0000-0000AB020000}"/>
    <cellStyle name="Normal 11 8 3 3" xfId="793" xr:uid="{00000000-0005-0000-0000-0000AC020000}"/>
    <cellStyle name="Normal 11 8 4" xfId="794" xr:uid="{00000000-0005-0000-0000-0000AD020000}"/>
    <cellStyle name="Normal 11 8 5" xfId="795" xr:uid="{00000000-0005-0000-0000-0000AE020000}"/>
    <cellStyle name="Normal 11 8 6" xfId="796" xr:uid="{00000000-0005-0000-0000-0000AF020000}"/>
    <cellStyle name="Normal 11 8 7" xfId="797" xr:uid="{00000000-0005-0000-0000-0000B0020000}"/>
    <cellStyle name="Normal 11 8_Consolidado" xfId="798" xr:uid="{00000000-0005-0000-0000-0000B1020000}"/>
    <cellStyle name="Normal 11 9" xfId="67" xr:uid="{00000000-0005-0000-0000-0000B2020000}"/>
    <cellStyle name="Normal 11 9 2" xfId="799" xr:uid="{00000000-0005-0000-0000-0000B3020000}"/>
    <cellStyle name="Normal 11 9 2 2" xfId="800" xr:uid="{00000000-0005-0000-0000-0000B4020000}"/>
    <cellStyle name="Normal 11 9 2 3" xfId="801" xr:uid="{00000000-0005-0000-0000-0000B5020000}"/>
    <cellStyle name="Normal 11 9 3" xfId="802" xr:uid="{00000000-0005-0000-0000-0000B6020000}"/>
    <cellStyle name="Normal 11 9 3 2" xfId="803" xr:uid="{00000000-0005-0000-0000-0000B7020000}"/>
    <cellStyle name="Normal 11 9 3 3" xfId="804" xr:uid="{00000000-0005-0000-0000-0000B8020000}"/>
    <cellStyle name="Normal 11 9 4" xfId="805" xr:uid="{00000000-0005-0000-0000-0000B9020000}"/>
    <cellStyle name="Normal 11 9 5" xfId="806" xr:uid="{00000000-0005-0000-0000-0000BA020000}"/>
    <cellStyle name="Normal 11 9 6" xfId="807" xr:uid="{00000000-0005-0000-0000-0000BB020000}"/>
    <cellStyle name="Normal 11 9 7" xfId="808" xr:uid="{00000000-0005-0000-0000-0000BC020000}"/>
    <cellStyle name="Normal 11 9_Consolidado" xfId="809" xr:uid="{00000000-0005-0000-0000-0000BD020000}"/>
    <cellStyle name="Normal 11_Consolidado" xfId="810" xr:uid="{00000000-0005-0000-0000-0000BE020000}"/>
    <cellStyle name="Normal 12" xfId="217" xr:uid="{00000000-0005-0000-0000-0000BF020000}"/>
    <cellStyle name="Normal 12 2" xfId="223" xr:uid="{00000000-0005-0000-0000-0000C0020000}"/>
    <cellStyle name="Normal 12 3" xfId="2249" xr:uid="{00000000-0005-0000-0000-0000C1020000}"/>
    <cellStyle name="Normal 12 3 2" xfId="2270" xr:uid="{00000000-0005-0000-0000-0000C2020000}"/>
    <cellStyle name="Normal 12 4" xfId="2248" xr:uid="{00000000-0005-0000-0000-0000C3020000}"/>
    <cellStyle name="Normal 12 5" xfId="2269" xr:uid="{00000000-0005-0000-0000-0000C4020000}"/>
    <cellStyle name="Normal 13" xfId="68" xr:uid="{00000000-0005-0000-0000-0000C5020000}"/>
    <cellStyle name="Normal 14" xfId="69" xr:uid="{00000000-0005-0000-0000-0000C6020000}"/>
    <cellStyle name="Normal 14 10" xfId="70" xr:uid="{00000000-0005-0000-0000-0000C7020000}"/>
    <cellStyle name="Normal 14 10 2" xfId="811" xr:uid="{00000000-0005-0000-0000-0000C8020000}"/>
    <cellStyle name="Normal 14 10 2 2" xfId="812" xr:uid="{00000000-0005-0000-0000-0000C9020000}"/>
    <cellStyle name="Normal 14 10 2 3" xfId="813" xr:uid="{00000000-0005-0000-0000-0000CA020000}"/>
    <cellStyle name="Normal 14 10 3" xfId="814" xr:uid="{00000000-0005-0000-0000-0000CB020000}"/>
    <cellStyle name="Normal 14 10 3 2" xfId="815" xr:uid="{00000000-0005-0000-0000-0000CC020000}"/>
    <cellStyle name="Normal 14 10 3 3" xfId="816" xr:uid="{00000000-0005-0000-0000-0000CD020000}"/>
    <cellStyle name="Normal 14 10 4" xfId="817" xr:uid="{00000000-0005-0000-0000-0000CE020000}"/>
    <cellStyle name="Normal 14 10 5" xfId="818" xr:uid="{00000000-0005-0000-0000-0000CF020000}"/>
    <cellStyle name="Normal 14 10 6" xfId="819" xr:uid="{00000000-0005-0000-0000-0000D0020000}"/>
    <cellStyle name="Normal 14 10 7" xfId="820" xr:uid="{00000000-0005-0000-0000-0000D1020000}"/>
    <cellStyle name="Normal 14 10_Consolidado" xfId="821" xr:uid="{00000000-0005-0000-0000-0000D2020000}"/>
    <cellStyle name="Normal 14 11" xfId="71" xr:uid="{00000000-0005-0000-0000-0000D3020000}"/>
    <cellStyle name="Normal 14 11 2" xfId="822" xr:uid="{00000000-0005-0000-0000-0000D4020000}"/>
    <cellStyle name="Normal 14 11 2 2" xfId="823" xr:uid="{00000000-0005-0000-0000-0000D5020000}"/>
    <cellStyle name="Normal 14 11 2 3" xfId="824" xr:uid="{00000000-0005-0000-0000-0000D6020000}"/>
    <cellStyle name="Normal 14 11 3" xfId="825" xr:uid="{00000000-0005-0000-0000-0000D7020000}"/>
    <cellStyle name="Normal 14 11 3 2" xfId="826" xr:uid="{00000000-0005-0000-0000-0000D8020000}"/>
    <cellStyle name="Normal 14 11 3 3" xfId="827" xr:uid="{00000000-0005-0000-0000-0000D9020000}"/>
    <cellStyle name="Normal 14 11 4" xfId="828" xr:uid="{00000000-0005-0000-0000-0000DA020000}"/>
    <cellStyle name="Normal 14 11 5" xfId="829" xr:uid="{00000000-0005-0000-0000-0000DB020000}"/>
    <cellStyle name="Normal 14 11 6" xfId="830" xr:uid="{00000000-0005-0000-0000-0000DC020000}"/>
    <cellStyle name="Normal 14 11 7" xfId="831" xr:uid="{00000000-0005-0000-0000-0000DD020000}"/>
    <cellStyle name="Normal 14 11_Consolidado" xfId="832" xr:uid="{00000000-0005-0000-0000-0000DE020000}"/>
    <cellStyle name="Normal 14 12" xfId="72" xr:uid="{00000000-0005-0000-0000-0000DF020000}"/>
    <cellStyle name="Normal 14 12 2" xfId="833" xr:uid="{00000000-0005-0000-0000-0000E0020000}"/>
    <cellStyle name="Normal 14 12 2 2" xfId="834" xr:uid="{00000000-0005-0000-0000-0000E1020000}"/>
    <cellStyle name="Normal 14 12 2 3" xfId="835" xr:uid="{00000000-0005-0000-0000-0000E2020000}"/>
    <cellStyle name="Normal 14 12 3" xfId="836" xr:uid="{00000000-0005-0000-0000-0000E3020000}"/>
    <cellStyle name="Normal 14 12 3 2" xfId="837" xr:uid="{00000000-0005-0000-0000-0000E4020000}"/>
    <cellStyle name="Normal 14 12 3 3" xfId="838" xr:uid="{00000000-0005-0000-0000-0000E5020000}"/>
    <cellStyle name="Normal 14 12 4" xfId="839" xr:uid="{00000000-0005-0000-0000-0000E6020000}"/>
    <cellStyle name="Normal 14 12 5" xfId="840" xr:uid="{00000000-0005-0000-0000-0000E7020000}"/>
    <cellStyle name="Normal 14 12 6" xfId="841" xr:uid="{00000000-0005-0000-0000-0000E8020000}"/>
    <cellStyle name="Normal 14 12 7" xfId="842" xr:uid="{00000000-0005-0000-0000-0000E9020000}"/>
    <cellStyle name="Normal 14 12_Consolidado" xfId="843" xr:uid="{00000000-0005-0000-0000-0000EA020000}"/>
    <cellStyle name="Normal 14 13" xfId="73" xr:uid="{00000000-0005-0000-0000-0000EB020000}"/>
    <cellStyle name="Normal 14 13 2" xfId="844" xr:uid="{00000000-0005-0000-0000-0000EC020000}"/>
    <cellStyle name="Normal 14 13 2 2" xfId="845" xr:uid="{00000000-0005-0000-0000-0000ED020000}"/>
    <cellStyle name="Normal 14 13 2 3" xfId="846" xr:uid="{00000000-0005-0000-0000-0000EE020000}"/>
    <cellStyle name="Normal 14 13 3" xfId="847" xr:uid="{00000000-0005-0000-0000-0000EF020000}"/>
    <cellStyle name="Normal 14 13 3 2" xfId="848" xr:uid="{00000000-0005-0000-0000-0000F0020000}"/>
    <cellStyle name="Normal 14 13 3 3" xfId="849" xr:uid="{00000000-0005-0000-0000-0000F1020000}"/>
    <cellStyle name="Normal 14 13 4" xfId="850" xr:uid="{00000000-0005-0000-0000-0000F2020000}"/>
    <cellStyle name="Normal 14 13 5" xfId="851" xr:uid="{00000000-0005-0000-0000-0000F3020000}"/>
    <cellStyle name="Normal 14 13 6" xfId="852" xr:uid="{00000000-0005-0000-0000-0000F4020000}"/>
    <cellStyle name="Normal 14 13 7" xfId="853" xr:uid="{00000000-0005-0000-0000-0000F5020000}"/>
    <cellStyle name="Normal 14 13_Consolidado" xfId="854" xr:uid="{00000000-0005-0000-0000-0000F6020000}"/>
    <cellStyle name="Normal 14 14" xfId="74" xr:uid="{00000000-0005-0000-0000-0000F7020000}"/>
    <cellStyle name="Normal 14 14 2" xfId="855" xr:uid="{00000000-0005-0000-0000-0000F8020000}"/>
    <cellStyle name="Normal 14 14 2 2" xfId="856" xr:uid="{00000000-0005-0000-0000-0000F9020000}"/>
    <cellStyle name="Normal 14 14 2 3" xfId="857" xr:uid="{00000000-0005-0000-0000-0000FA020000}"/>
    <cellStyle name="Normal 14 14 3" xfId="858" xr:uid="{00000000-0005-0000-0000-0000FB020000}"/>
    <cellStyle name="Normal 14 14 3 2" xfId="859" xr:uid="{00000000-0005-0000-0000-0000FC020000}"/>
    <cellStyle name="Normal 14 14 3 3" xfId="860" xr:uid="{00000000-0005-0000-0000-0000FD020000}"/>
    <cellStyle name="Normal 14 14 4" xfId="861" xr:uid="{00000000-0005-0000-0000-0000FE020000}"/>
    <cellStyle name="Normal 14 14 5" xfId="862" xr:uid="{00000000-0005-0000-0000-0000FF020000}"/>
    <cellStyle name="Normal 14 14 6" xfId="863" xr:uid="{00000000-0005-0000-0000-000000030000}"/>
    <cellStyle name="Normal 14 14 7" xfId="864" xr:uid="{00000000-0005-0000-0000-000001030000}"/>
    <cellStyle name="Normal 14 14_Consolidado" xfId="865" xr:uid="{00000000-0005-0000-0000-000002030000}"/>
    <cellStyle name="Normal 14 15" xfId="75" xr:uid="{00000000-0005-0000-0000-000003030000}"/>
    <cellStyle name="Normal 14 15 2" xfId="866" xr:uid="{00000000-0005-0000-0000-000004030000}"/>
    <cellStyle name="Normal 14 15 3" xfId="867" xr:uid="{00000000-0005-0000-0000-000005030000}"/>
    <cellStyle name="Normal 14 16" xfId="868" xr:uid="{00000000-0005-0000-0000-000006030000}"/>
    <cellStyle name="Normal 14 16 2" xfId="869" xr:uid="{00000000-0005-0000-0000-000007030000}"/>
    <cellStyle name="Normal 14 16 3" xfId="870" xr:uid="{00000000-0005-0000-0000-000008030000}"/>
    <cellStyle name="Normal 14 17" xfId="871" xr:uid="{00000000-0005-0000-0000-000009030000}"/>
    <cellStyle name="Normal 14 17 2" xfId="872" xr:uid="{00000000-0005-0000-0000-00000A030000}"/>
    <cellStyle name="Normal 14 17 3" xfId="873" xr:uid="{00000000-0005-0000-0000-00000B030000}"/>
    <cellStyle name="Normal 14 18" xfId="874" xr:uid="{00000000-0005-0000-0000-00000C030000}"/>
    <cellStyle name="Normal 14 19" xfId="875" xr:uid="{00000000-0005-0000-0000-00000D030000}"/>
    <cellStyle name="Normal 14 2" xfId="76" xr:uid="{00000000-0005-0000-0000-00000E030000}"/>
    <cellStyle name="Normal 14 2 2" xfId="876" xr:uid="{00000000-0005-0000-0000-00000F030000}"/>
    <cellStyle name="Normal 14 2 2 2" xfId="877" xr:uid="{00000000-0005-0000-0000-000010030000}"/>
    <cellStyle name="Normal 14 2 2 3" xfId="878" xr:uid="{00000000-0005-0000-0000-000011030000}"/>
    <cellStyle name="Normal 14 2 3" xfId="879" xr:uid="{00000000-0005-0000-0000-000012030000}"/>
    <cellStyle name="Normal 14 2 3 2" xfId="880" xr:uid="{00000000-0005-0000-0000-000013030000}"/>
    <cellStyle name="Normal 14 2 3 3" xfId="881" xr:uid="{00000000-0005-0000-0000-000014030000}"/>
    <cellStyle name="Normal 14 2 4" xfId="882" xr:uid="{00000000-0005-0000-0000-000015030000}"/>
    <cellStyle name="Normal 14 2 5" xfId="883" xr:uid="{00000000-0005-0000-0000-000016030000}"/>
    <cellStyle name="Normal 14 2 6" xfId="884" xr:uid="{00000000-0005-0000-0000-000017030000}"/>
    <cellStyle name="Normal 14 2 7" xfId="885" xr:uid="{00000000-0005-0000-0000-000018030000}"/>
    <cellStyle name="Normal 14 2_Consolidado" xfId="886" xr:uid="{00000000-0005-0000-0000-000019030000}"/>
    <cellStyle name="Normal 14 20" xfId="887" xr:uid="{00000000-0005-0000-0000-00001A030000}"/>
    <cellStyle name="Normal 14 21" xfId="888" xr:uid="{00000000-0005-0000-0000-00001B030000}"/>
    <cellStyle name="Normal 14 3" xfId="77" xr:uid="{00000000-0005-0000-0000-00001C030000}"/>
    <cellStyle name="Normal 14 3 2" xfId="889" xr:uid="{00000000-0005-0000-0000-00001D030000}"/>
    <cellStyle name="Normal 14 3 2 2" xfId="890" xr:uid="{00000000-0005-0000-0000-00001E030000}"/>
    <cellStyle name="Normal 14 3 2 3" xfId="891" xr:uid="{00000000-0005-0000-0000-00001F030000}"/>
    <cellStyle name="Normal 14 3 3" xfId="892" xr:uid="{00000000-0005-0000-0000-000020030000}"/>
    <cellStyle name="Normal 14 3 3 2" xfId="893" xr:uid="{00000000-0005-0000-0000-000021030000}"/>
    <cellStyle name="Normal 14 3 3 3" xfId="894" xr:uid="{00000000-0005-0000-0000-000022030000}"/>
    <cellStyle name="Normal 14 3 4" xfId="895" xr:uid="{00000000-0005-0000-0000-000023030000}"/>
    <cellStyle name="Normal 14 3 5" xfId="896" xr:uid="{00000000-0005-0000-0000-000024030000}"/>
    <cellStyle name="Normal 14 3 6" xfId="897" xr:uid="{00000000-0005-0000-0000-000025030000}"/>
    <cellStyle name="Normal 14 3 7" xfId="898" xr:uid="{00000000-0005-0000-0000-000026030000}"/>
    <cellStyle name="Normal 14 3_Consolidado" xfId="899" xr:uid="{00000000-0005-0000-0000-000027030000}"/>
    <cellStyle name="Normal 14 4" xfId="78" xr:uid="{00000000-0005-0000-0000-000028030000}"/>
    <cellStyle name="Normal 14 4 2" xfId="900" xr:uid="{00000000-0005-0000-0000-000029030000}"/>
    <cellStyle name="Normal 14 4 2 2" xfId="901" xr:uid="{00000000-0005-0000-0000-00002A030000}"/>
    <cellStyle name="Normal 14 4 2 3" xfId="902" xr:uid="{00000000-0005-0000-0000-00002B030000}"/>
    <cellStyle name="Normal 14 4 3" xfId="903" xr:uid="{00000000-0005-0000-0000-00002C030000}"/>
    <cellStyle name="Normal 14 4 3 2" xfId="904" xr:uid="{00000000-0005-0000-0000-00002D030000}"/>
    <cellStyle name="Normal 14 4 3 3" xfId="905" xr:uid="{00000000-0005-0000-0000-00002E030000}"/>
    <cellStyle name="Normal 14 4 4" xfId="906" xr:uid="{00000000-0005-0000-0000-00002F030000}"/>
    <cellStyle name="Normal 14 4 5" xfId="907" xr:uid="{00000000-0005-0000-0000-000030030000}"/>
    <cellStyle name="Normal 14 4 6" xfId="908" xr:uid="{00000000-0005-0000-0000-000031030000}"/>
    <cellStyle name="Normal 14 4 7" xfId="909" xr:uid="{00000000-0005-0000-0000-000032030000}"/>
    <cellStyle name="Normal 14 4_Consolidado" xfId="910" xr:uid="{00000000-0005-0000-0000-000033030000}"/>
    <cellStyle name="Normal 14 5" xfId="79" xr:uid="{00000000-0005-0000-0000-000034030000}"/>
    <cellStyle name="Normal 14 5 2" xfId="911" xr:uid="{00000000-0005-0000-0000-000035030000}"/>
    <cellStyle name="Normal 14 5 2 2" xfId="912" xr:uid="{00000000-0005-0000-0000-000036030000}"/>
    <cellStyle name="Normal 14 5 2 3" xfId="913" xr:uid="{00000000-0005-0000-0000-000037030000}"/>
    <cellStyle name="Normal 14 5 3" xfId="914" xr:uid="{00000000-0005-0000-0000-000038030000}"/>
    <cellStyle name="Normal 14 5 3 2" xfId="915" xr:uid="{00000000-0005-0000-0000-000039030000}"/>
    <cellStyle name="Normal 14 5 3 3" xfId="916" xr:uid="{00000000-0005-0000-0000-00003A030000}"/>
    <cellStyle name="Normal 14 5 4" xfId="917" xr:uid="{00000000-0005-0000-0000-00003B030000}"/>
    <cellStyle name="Normal 14 5 5" xfId="918" xr:uid="{00000000-0005-0000-0000-00003C030000}"/>
    <cellStyle name="Normal 14 5 6" xfId="919" xr:uid="{00000000-0005-0000-0000-00003D030000}"/>
    <cellStyle name="Normal 14 5 7" xfId="920" xr:uid="{00000000-0005-0000-0000-00003E030000}"/>
    <cellStyle name="Normal 14 5_Consolidado" xfId="921" xr:uid="{00000000-0005-0000-0000-00003F030000}"/>
    <cellStyle name="Normal 14 6" xfId="80" xr:uid="{00000000-0005-0000-0000-000040030000}"/>
    <cellStyle name="Normal 14 6 2" xfId="922" xr:uid="{00000000-0005-0000-0000-000041030000}"/>
    <cellStyle name="Normal 14 6 2 2" xfId="923" xr:uid="{00000000-0005-0000-0000-000042030000}"/>
    <cellStyle name="Normal 14 6 2 3" xfId="924" xr:uid="{00000000-0005-0000-0000-000043030000}"/>
    <cellStyle name="Normal 14 6 3" xfId="925" xr:uid="{00000000-0005-0000-0000-000044030000}"/>
    <cellStyle name="Normal 14 6 3 2" xfId="926" xr:uid="{00000000-0005-0000-0000-000045030000}"/>
    <cellStyle name="Normal 14 6 3 3" xfId="927" xr:uid="{00000000-0005-0000-0000-000046030000}"/>
    <cellStyle name="Normal 14 6 4" xfId="928" xr:uid="{00000000-0005-0000-0000-000047030000}"/>
    <cellStyle name="Normal 14 6 5" xfId="929" xr:uid="{00000000-0005-0000-0000-000048030000}"/>
    <cellStyle name="Normal 14 6 6" xfId="930" xr:uid="{00000000-0005-0000-0000-000049030000}"/>
    <cellStyle name="Normal 14 6 7" xfId="931" xr:uid="{00000000-0005-0000-0000-00004A030000}"/>
    <cellStyle name="Normal 14 6_Consolidado" xfId="932" xr:uid="{00000000-0005-0000-0000-00004B030000}"/>
    <cellStyle name="Normal 14 7" xfId="81" xr:uid="{00000000-0005-0000-0000-00004C030000}"/>
    <cellStyle name="Normal 14 7 2" xfId="933" xr:uid="{00000000-0005-0000-0000-00004D030000}"/>
    <cellStyle name="Normal 14 7 2 2" xfId="934" xr:uid="{00000000-0005-0000-0000-00004E030000}"/>
    <cellStyle name="Normal 14 7 2 3" xfId="935" xr:uid="{00000000-0005-0000-0000-00004F030000}"/>
    <cellStyle name="Normal 14 7 3" xfId="936" xr:uid="{00000000-0005-0000-0000-000050030000}"/>
    <cellStyle name="Normal 14 7 3 2" xfId="937" xr:uid="{00000000-0005-0000-0000-000051030000}"/>
    <cellStyle name="Normal 14 7 3 3" xfId="938" xr:uid="{00000000-0005-0000-0000-000052030000}"/>
    <cellStyle name="Normal 14 7 4" xfId="939" xr:uid="{00000000-0005-0000-0000-000053030000}"/>
    <cellStyle name="Normal 14 7 5" xfId="940" xr:uid="{00000000-0005-0000-0000-000054030000}"/>
    <cellStyle name="Normal 14 7 6" xfId="941" xr:uid="{00000000-0005-0000-0000-000055030000}"/>
    <cellStyle name="Normal 14 7 7" xfId="942" xr:uid="{00000000-0005-0000-0000-000056030000}"/>
    <cellStyle name="Normal 14 7_Consolidado" xfId="943" xr:uid="{00000000-0005-0000-0000-000057030000}"/>
    <cellStyle name="Normal 14 8" xfId="82" xr:uid="{00000000-0005-0000-0000-000058030000}"/>
    <cellStyle name="Normal 14 8 2" xfId="944" xr:uid="{00000000-0005-0000-0000-000059030000}"/>
    <cellStyle name="Normal 14 8 2 2" xfId="945" xr:uid="{00000000-0005-0000-0000-00005A030000}"/>
    <cellStyle name="Normal 14 8 2 3" xfId="946" xr:uid="{00000000-0005-0000-0000-00005B030000}"/>
    <cellStyle name="Normal 14 8 3" xfId="947" xr:uid="{00000000-0005-0000-0000-00005C030000}"/>
    <cellStyle name="Normal 14 8 3 2" xfId="948" xr:uid="{00000000-0005-0000-0000-00005D030000}"/>
    <cellStyle name="Normal 14 8 3 3" xfId="949" xr:uid="{00000000-0005-0000-0000-00005E030000}"/>
    <cellStyle name="Normal 14 8 4" xfId="950" xr:uid="{00000000-0005-0000-0000-00005F030000}"/>
    <cellStyle name="Normal 14 8 5" xfId="951" xr:uid="{00000000-0005-0000-0000-000060030000}"/>
    <cellStyle name="Normal 14 8 6" xfId="952" xr:uid="{00000000-0005-0000-0000-000061030000}"/>
    <cellStyle name="Normal 14 8 7" xfId="953" xr:uid="{00000000-0005-0000-0000-000062030000}"/>
    <cellStyle name="Normal 14 8_Consolidado" xfId="954" xr:uid="{00000000-0005-0000-0000-000063030000}"/>
    <cellStyle name="Normal 14 9" xfId="83" xr:uid="{00000000-0005-0000-0000-000064030000}"/>
    <cellStyle name="Normal 14 9 2" xfId="955" xr:uid="{00000000-0005-0000-0000-000065030000}"/>
    <cellStyle name="Normal 14 9 2 2" xfId="956" xr:uid="{00000000-0005-0000-0000-000066030000}"/>
    <cellStyle name="Normal 14 9 2 3" xfId="957" xr:uid="{00000000-0005-0000-0000-000067030000}"/>
    <cellStyle name="Normal 14 9 3" xfId="958" xr:uid="{00000000-0005-0000-0000-000068030000}"/>
    <cellStyle name="Normal 14 9 3 2" xfId="959" xr:uid="{00000000-0005-0000-0000-000069030000}"/>
    <cellStyle name="Normal 14 9 3 3" xfId="960" xr:uid="{00000000-0005-0000-0000-00006A030000}"/>
    <cellStyle name="Normal 14 9 4" xfId="961" xr:uid="{00000000-0005-0000-0000-00006B030000}"/>
    <cellStyle name="Normal 14 9 5" xfId="962" xr:uid="{00000000-0005-0000-0000-00006C030000}"/>
    <cellStyle name="Normal 14 9 6" xfId="963" xr:uid="{00000000-0005-0000-0000-00006D030000}"/>
    <cellStyle name="Normal 14 9 7" xfId="964" xr:uid="{00000000-0005-0000-0000-00006E030000}"/>
    <cellStyle name="Normal 14 9_Consolidado" xfId="965" xr:uid="{00000000-0005-0000-0000-00006F030000}"/>
    <cellStyle name="Normal 14_Consolidado" xfId="966" xr:uid="{00000000-0005-0000-0000-000070030000}"/>
    <cellStyle name="Normal 15" xfId="84" xr:uid="{00000000-0005-0000-0000-000071030000}"/>
    <cellStyle name="Normal 15 2" xfId="85" xr:uid="{00000000-0005-0000-0000-000072030000}"/>
    <cellStyle name="Normal 15 2 2" xfId="967" xr:uid="{00000000-0005-0000-0000-000073030000}"/>
    <cellStyle name="Normal 15 2 3" xfId="968" xr:uid="{00000000-0005-0000-0000-000074030000}"/>
    <cellStyle name="Normal 15 3" xfId="969" xr:uid="{00000000-0005-0000-0000-000075030000}"/>
    <cellStyle name="Normal 15 3 2" xfId="970" xr:uid="{00000000-0005-0000-0000-000076030000}"/>
    <cellStyle name="Normal 15 3 3" xfId="971" xr:uid="{00000000-0005-0000-0000-000077030000}"/>
    <cellStyle name="Normal 15 4" xfId="972" xr:uid="{00000000-0005-0000-0000-000078030000}"/>
    <cellStyle name="Normal 15 4 2" xfId="973" xr:uid="{00000000-0005-0000-0000-000079030000}"/>
    <cellStyle name="Normal 15 4 3" xfId="974" xr:uid="{00000000-0005-0000-0000-00007A030000}"/>
    <cellStyle name="Normal 15 5" xfId="975" xr:uid="{00000000-0005-0000-0000-00007B030000}"/>
    <cellStyle name="Normal 15 6" xfId="976" xr:uid="{00000000-0005-0000-0000-00007C030000}"/>
    <cellStyle name="Normal 15 7" xfId="977" xr:uid="{00000000-0005-0000-0000-00007D030000}"/>
    <cellStyle name="Normal 15 8" xfId="978" xr:uid="{00000000-0005-0000-0000-00007E030000}"/>
    <cellStyle name="Normal 15_Consolidado" xfId="979" xr:uid="{00000000-0005-0000-0000-00007F030000}"/>
    <cellStyle name="Normal 16" xfId="86" xr:uid="{00000000-0005-0000-0000-000080030000}"/>
    <cellStyle name="Normal 16 2" xfId="87" xr:uid="{00000000-0005-0000-0000-000081030000}"/>
    <cellStyle name="Normal 16 2 2" xfId="980" xr:uid="{00000000-0005-0000-0000-000082030000}"/>
    <cellStyle name="Normal 16 2 3" xfId="981" xr:uid="{00000000-0005-0000-0000-000083030000}"/>
    <cellStyle name="Normal 16 3" xfId="982" xr:uid="{00000000-0005-0000-0000-000084030000}"/>
    <cellStyle name="Normal 16 3 2" xfId="983" xr:uid="{00000000-0005-0000-0000-000085030000}"/>
    <cellStyle name="Normal 16 3 3" xfId="984" xr:uid="{00000000-0005-0000-0000-000086030000}"/>
    <cellStyle name="Normal 16 4" xfId="985" xr:uid="{00000000-0005-0000-0000-000087030000}"/>
    <cellStyle name="Normal 16 4 2" xfId="986" xr:uid="{00000000-0005-0000-0000-000088030000}"/>
    <cellStyle name="Normal 16 4 3" xfId="987" xr:uid="{00000000-0005-0000-0000-000089030000}"/>
    <cellStyle name="Normal 16 5" xfId="988" xr:uid="{00000000-0005-0000-0000-00008A030000}"/>
    <cellStyle name="Normal 16 6" xfId="989" xr:uid="{00000000-0005-0000-0000-00008B030000}"/>
    <cellStyle name="Normal 16 7" xfId="990" xr:uid="{00000000-0005-0000-0000-00008C030000}"/>
    <cellStyle name="Normal 16 8" xfId="991" xr:uid="{00000000-0005-0000-0000-00008D030000}"/>
    <cellStyle name="Normal 16_Consolidado" xfId="992" xr:uid="{00000000-0005-0000-0000-00008E030000}"/>
    <cellStyle name="Normal 17" xfId="88" xr:uid="{00000000-0005-0000-0000-00008F030000}"/>
    <cellStyle name="Normal 17 2" xfId="89" xr:uid="{00000000-0005-0000-0000-000090030000}"/>
    <cellStyle name="Normal 17 2 2" xfId="993" xr:uid="{00000000-0005-0000-0000-000091030000}"/>
    <cellStyle name="Normal 17 2 3" xfId="994" xr:uid="{00000000-0005-0000-0000-000092030000}"/>
    <cellStyle name="Normal 17 3" xfId="995" xr:uid="{00000000-0005-0000-0000-000093030000}"/>
    <cellStyle name="Normal 17 3 2" xfId="996" xr:uid="{00000000-0005-0000-0000-000094030000}"/>
    <cellStyle name="Normal 17 3 3" xfId="997" xr:uid="{00000000-0005-0000-0000-000095030000}"/>
    <cellStyle name="Normal 17 4" xfId="998" xr:uid="{00000000-0005-0000-0000-000096030000}"/>
    <cellStyle name="Normal 17 4 2" xfId="999" xr:uid="{00000000-0005-0000-0000-000097030000}"/>
    <cellStyle name="Normal 17 4 3" xfId="1000" xr:uid="{00000000-0005-0000-0000-000098030000}"/>
    <cellStyle name="Normal 17 5" xfId="1001" xr:uid="{00000000-0005-0000-0000-000099030000}"/>
    <cellStyle name="Normal 17 6" xfId="1002" xr:uid="{00000000-0005-0000-0000-00009A030000}"/>
    <cellStyle name="Normal 17 7" xfId="1003" xr:uid="{00000000-0005-0000-0000-00009B030000}"/>
    <cellStyle name="Normal 17 8" xfId="1004" xr:uid="{00000000-0005-0000-0000-00009C030000}"/>
    <cellStyle name="Normal 17_Consolidado" xfId="1005" xr:uid="{00000000-0005-0000-0000-00009D030000}"/>
    <cellStyle name="Normal 18" xfId="90" xr:uid="{00000000-0005-0000-0000-00009E030000}"/>
    <cellStyle name="Normal 18 2" xfId="91" xr:uid="{00000000-0005-0000-0000-00009F030000}"/>
    <cellStyle name="Normal 18 2 2" xfId="1006" xr:uid="{00000000-0005-0000-0000-0000A0030000}"/>
    <cellStyle name="Normal 18 2 3" xfId="1007" xr:uid="{00000000-0005-0000-0000-0000A1030000}"/>
    <cellStyle name="Normal 18 3" xfId="1008" xr:uid="{00000000-0005-0000-0000-0000A2030000}"/>
    <cellStyle name="Normal 18 3 2" xfId="1009" xr:uid="{00000000-0005-0000-0000-0000A3030000}"/>
    <cellStyle name="Normal 18 3 3" xfId="1010" xr:uid="{00000000-0005-0000-0000-0000A4030000}"/>
    <cellStyle name="Normal 18 4" xfId="1011" xr:uid="{00000000-0005-0000-0000-0000A5030000}"/>
    <cellStyle name="Normal 18 4 2" xfId="1012" xr:uid="{00000000-0005-0000-0000-0000A6030000}"/>
    <cellStyle name="Normal 18 4 3" xfId="1013" xr:uid="{00000000-0005-0000-0000-0000A7030000}"/>
    <cellStyle name="Normal 18 5" xfId="1014" xr:uid="{00000000-0005-0000-0000-0000A8030000}"/>
    <cellStyle name="Normal 18 6" xfId="1015" xr:uid="{00000000-0005-0000-0000-0000A9030000}"/>
    <cellStyle name="Normal 18 7" xfId="1016" xr:uid="{00000000-0005-0000-0000-0000AA030000}"/>
    <cellStyle name="Normal 18 8" xfId="1017" xr:uid="{00000000-0005-0000-0000-0000AB030000}"/>
    <cellStyle name="Normal 18_Consolidado" xfId="1018" xr:uid="{00000000-0005-0000-0000-0000AC030000}"/>
    <cellStyle name="Normal 19" xfId="92" xr:uid="{00000000-0005-0000-0000-0000AD030000}"/>
    <cellStyle name="Normal 19 2" xfId="93" xr:uid="{00000000-0005-0000-0000-0000AE030000}"/>
    <cellStyle name="Normal 19 2 2" xfId="1019" xr:uid="{00000000-0005-0000-0000-0000AF030000}"/>
    <cellStyle name="Normal 19 2 3" xfId="1020" xr:uid="{00000000-0005-0000-0000-0000B0030000}"/>
    <cellStyle name="Normal 19 3" xfId="1021" xr:uid="{00000000-0005-0000-0000-0000B1030000}"/>
    <cellStyle name="Normal 19 3 2" xfId="1022" xr:uid="{00000000-0005-0000-0000-0000B2030000}"/>
    <cellStyle name="Normal 19 3 3" xfId="1023" xr:uid="{00000000-0005-0000-0000-0000B3030000}"/>
    <cellStyle name="Normal 19 4" xfId="1024" xr:uid="{00000000-0005-0000-0000-0000B4030000}"/>
    <cellStyle name="Normal 19 4 2" xfId="1025" xr:uid="{00000000-0005-0000-0000-0000B5030000}"/>
    <cellStyle name="Normal 19 4 3" xfId="1026" xr:uid="{00000000-0005-0000-0000-0000B6030000}"/>
    <cellStyle name="Normal 19 5" xfId="1027" xr:uid="{00000000-0005-0000-0000-0000B7030000}"/>
    <cellStyle name="Normal 19 6" xfId="1028" xr:uid="{00000000-0005-0000-0000-0000B8030000}"/>
    <cellStyle name="Normal 19 7" xfId="1029" xr:uid="{00000000-0005-0000-0000-0000B9030000}"/>
    <cellStyle name="Normal 19 8" xfId="1030" xr:uid="{00000000-0005-0000-0000-0000BA030000}"/>
    <cellStyle name="Normal 19_Consolidado" xfId="1031" xr:uid="{00000000-0005-0000-0000-0000BB030000}"/>
    <cellStyle name="Normal 2" xfId="94" xr:uid="{00000000-0005-0000-0000-0000BC030000}"/>
    <cellStyle name="Normal 2 10" xfId="95" xr:uid="{00000000-0005-0000-0000-0000BD030000}"/>
    <cellStyle name="Normal 2 10 2" xfId="1032" xr:uid="{00000000-0005-0000-0000-0000BE030000}"/>
    <cellStyle name="Normal 2 10 2 2" xfId="1033" xr:uid="{00000000-0005-0000-0000-0000BF030000}"/>
    <cellStyle name="Normal 2 10 2 3" xfId="1034" xr:uid="{00000000-0005-0000-0000-0000C0030000}"/>
    <cellStyle name="Normal 2 10 3" xfId="1035" xr:uid="{00000000-0005-0000-0000-0000C1030000}"/>
    <cellStyle name="Normal 2 10 3 2" xfId="1036" xr:uid="{00000000-0005-0000-0000-0000C2030000}"/>
    <cellStyle name="Normal 2 10 3 3" xfId="1037" xr:uid="{00000000-0005-0000-0000-0000C3030000}"/>
    <cellStyle name="Normal 2 10 4" xfId="1038" xr:uid="{00000000-0005-0000-0000-0000C4030000}"/>
    <cellStyle name="Normal 2 10 5" xfId="1039" xr:uid="{00000000-0005-0000-0000-0000C5030000}"/>
    <cellStyle name="Normal 2 10 6" xfId="1040" xr:uid="{00000000-0005-0000-0000-0000C6030000}"/>
    <cellStyle name="Normal 2 10 7" xfId="1041" xr:uid="{00000000-0005-0000-0000-0000C7030000}"/>
    <cellStyle name="Normal 2 10_Consolidado" xfId="1042" xr:uid="{00000000-0005-0000-0000-0000C8030000}"/>
    <cellStyle name="Normal 2 11" xfId="96" xr:uid="{00000000-0005-0000-0000-0000C9030000}"/>
    <cellStyle name="Normal 2 11 2" xfId="1043" xr:uid="{00000000-0005-0000-0000-0000CA030000}"/>
    <cellStyle name="Normal 2 11 2 2" xfId="1044" xr:uid="{00000000-0005-0000-0000-0000CB030000}"/>
    <cellStyle name="Normal 2 11 2 3" xfId="1045" xr:uid="{00000000-0005-0000-0000-0000CC030000}"/>
    <cellStyle name="Normal 2 11 3" xfId="1046" xr:uid="{00000000-0005-0000-0000-0000CD030000}"/>
    <cellStyle name="Normal 2 11 3 2" xfId="1047" xr:uid="{00000000-0005-0000-0000-0000CE030000}"/>
    <cellStyle name="Normal 2 11 3 3" xfId="1048" xr:uid="{00000000-0005-0000-0000-0000CF030000}"/>
    <cellStyle name="Normal 2 11 4" xfId="1049" xr:uid="{00000000-0005-0000-0000-0000D0030000}"/>
    <cellStyle name="Normal 2 11 5" xfId="1050" xr:uid="{00000000-0005-0000-0000-0000D1030000}"/>
    <cellStyle name="Normal 2 11 6" xfId="1051" xr:uid="{00000000-0005-0000-0000-0000D2030000}"/>
    <cellStyle name="Normal 2 11 7" xfId="1052" xr:uid="{00000000-0005-0000-0000-0000D3030000}"/>
    <cellStyle name="Normal 2 11_Consolidado" xfId="1053" xr:uid="{00000000-0005-0000-0000-0000D4030000}"/>
    <cellStyle name="Normal 2 12" xfId="97" xr:uid="{00000000-0005-0000-0000-0000D5030000}"/>
    <cellStyle name="Normal 2 12 2" xfId="1054" xr:uid="{00000000-0005-0000-0000-0000D6030000}"/>
    <cellStyle name="Normal 2 12 2 2" xfId="1055" xr:uid="{00000000-0005-0000-0000-0000D7030000}"/>
    <cellStyle name="Normal 2 12 2 3" xfId="1056" xr:uid="{00000000-0005-0000-0000-0000D8030000}"/>
    <cellStyle name="Normal 2 12 3" xfId="1057" xr:uid="{00000000-0005-0000-0000-0000D9030000}"/>
    <cellStyle name="Normal 2 12 3 2" xfId="1058" xr:uid="{00000000-0005-0000-0000-0000DA030000}"/>
    <cellStyle name="Normal 2 12 3 3" xfId="1059" xr:uid="{00000000-0005-0000-0000-0000DB030000}"/>
    <cellStyle name="Normal 2 12 4" xfId="1060" xr:uid="{00000000-0005-0000-0000-0000DC030000}"/>
    <cellStyle name="Normal 2 12 5" xfId="1061" xr:uid="{00000000-0005-0000-0000-0000DD030000}"/>
    <cellStyle name="Normal 2 12 6" xfId="1062" xr:uid="{00000000-0005-0000-0000-0000DE030000}"/>
    <cellStyle name="Normal 2 12 7" xfId="1063" xr:uid="{00000000-0005-0000-0000-0000DF030000}"/>
    <cellStyle name="Normal 2 12_Consolidado" xfId="1064" xr:uid="{00000000-0005-0000-0000-0000E0030000}"/>
    <cellStyle name="Normal 2 13" xfId="98" xr:uid="{00000000-0005-0000-0000-0000E1030000}"/>
    <cellStyle name="Normal 2 13 2" xfId="1065" xr:uid="{00000000-0005-0000-0000-0000E2030000}"/>
    <cellStyle name="Normal 2 13 2 2" xfId="1066" xr:uid="{00000000-0005-0000-0000-0000E3030000}"/>
    <cellStyle name="Normal 2 13 2 3" xfId="1067" xr:uid="{00000000-0005-0000-0000-0000E4030000}"/>
    <cellStyle name="Normal 2 13 3" xfId="1068" xr:uid="{00000000-0005-0000-0000-0000E5030000}"/>
    <cellStyle name="Normal 2 13 3 2" xfId="1069" xr:uid="{00000000-0005-0000-0000-0000E6030000}"/>
    <cellStyle name="Normal 2 13 3 3" xfId="1070" xr:uid="{00000000-0005-0000-0000-0000E7030000}"/>
    <cellStyle name="Normal 2 13 4" xfId="1071" xr:uid="{00000000-0005-0000-0000-0000E8030000}"/>
    <cellStyle name="Normal 2 13 5" xfId="1072" xr:uid="{00000000-0005-0000-0000-0000E9030000}"/>
    <cellStyle name="Normal 2 13 6" xfId="1073" xr:uid="{00000000-0005-0000-0000-0000EA030000}"/>
    <cellStyle name="Normal 2 13 7" xfId="1074" xr:uid="{00000000-0005-0000-0000-0000EB030000}"/>
    <cellStyle name="Normal 2 13_Consolidado" xfId="1075" xr:uid="{00000000-0005-0000-0000-0000EC030000}"/>
    <cellStyle name="Normal 2 14" xfId="99" xr:uid="{00000000-0005-0000-0000-0000ED030000}"/>
    <cellStyle name="Normal 2 14 2" xfId="1076" xr:uid="{00000000-0005-0000-0000-0000EE030000}"/>
    <cellStyle name="Normal 2 14 2 2" xfId="1077" xr:uid="{00000000-0005-0000-0000-0000EF030000}"/>
    <cellStyle name="Normal 2 14 2 3" xfId="1078" xr:uid="{00000000-0005-0000-0000-0000F0030000}"/>
    <cellStyle name="Normal 2 14 3" xfId="1079" xr:uid="{00000000-0005-0000-0000-0000F1030000}"/>
    <cellStyle name="Normal 2 14 3 2" xfId="1080" xr:uid="{00000000-0005-0000-0000-0000F2030000}"/>
    <cellStyle name="Normal 2 14 3 3" xfId="1081" xr:uid="{00000000-0005-0000-0000-0000F3030000}"/>
    <cellStyle name="Normal 2 14 4" xfId="1082" xr:uid="{00000000-0005-0000-0000-0000F4030000}"/>
    <cellStyle name="Normal 2 14 5" xfId="1083" xr:uid="{00000000-0005-0000-0000-0000F5030000}"/>
    <cellStyle name="Normal 2 14 6" xfId="1084" xr:uid="{00000000-0005-0000-0000-0000F6030000}"/>
    <cellStyle name="Normal 2 14 7" xfId="1085" xr:uid="{00000000-0005-0000-0000-0000F7030000}"/>
    <cellStyle name="Normal 2 14_Consolidado" xfId="1086" xr:uid="{00000000-0005-0000-0000-0000F8030000}"/>
    <cellStyle name="Normal 2 15" xfId="100" xr:uid="{00000000-0005-0000-0000-0000F9030000}"/>
    <cellStyle name="Normal 2 15 2" xfId="1087" xr:uid="{00000000-0005-0000-0000-0000FA030000}"/>
    <cellStyle name="Normal 2 15 3" xfId="1088" xr:uid="{00000000-0005-0000-0000-0000FB030000}"/>
    <cellStyle name="Normal 2 16" xfId="101" xr:uid="{00000000-0005-0000-0000-0000FC030000}"/>
    <cellStyle name="Normal 2 16 2" xfId="1089" xr:uid="{00000000-0005-0000-0000-0000FD030000}"/>
    <cellStyle name="Normal 2 16 3" xfId="1090" xr:uid="{00000000-0005-0000-0000-0000FE030000}"/>
    <cellStyle name="Normal 2 17" xfId="102" xr:uid="{00000000-0005-0000-0000-0000FF030000}"/>
    <cellStyle name="Normal 2 17 2" xfId="1091" xr:uid="{00000000-0005-0000-0000-000000040000}"/>
    <cellStyle name="Normal 2 17 3" xfId="1092" xr:uid="{00000000-0005-0000-0000-000001040000}"/>
    <cellStyle name="Normal 2 18" xfId="103" xr:uid="{00000000-0005-0000-0000-000002040000}"/>
    <cellStyle name="Normal 2 18 2" xfId="1093" xr:uid="{00000000-0005-0000-0000-000003040000}"/>
    <cellStyle name="Normal 2 18 3" xfId="1094" xr:uid="{00000000-0005-0000-0000-000004040000}"/>
    <cellStyle name="Normal 2 19" xfId="104" xr:uid="{00000000-0005-0000-0000-000005040000}"/>
    <cellStyle name="Normal 2 19 2" xfId="1095" xr:uid="{00000000-0005-0000-0000-000006040000}"/>
    <cellStyle name="Normal 2 19 3" xfId="1096" xr:uid="{00000000-0005-0000-0000-000007040000}"/>
    <cellStyle name="Normal 2 2" xfId="105" xr:uid="{00000000-0005-0000-0000-000008040000}"/>
    <cellStyle name="Normal 2 2 2" xfId="106" xr:uid="{00000000-0005-0000-0000-000009040000}"/>
    <cellStyle name="Normal 2 2 2 2" xfId="1097" xr:uid="{00000000-0005-0000-0000-00000A040000}"/>
    <cellStyle name="Normal 2 2 2 3" xfId="1098" xr:uid="{00000000-0005-0000-0000-00000B040000}"/>
    <cellStyle name="Normal 2 2 3" xfId="1099" xr:uid="{00000000-0005-0000-0000-00000C040000}"/>
    <cellStyle name="Normal 2 2 3 2" xfId="1100" xr:uid="{00000000-0005-0000-0000-00000D040000}"/>
    <cellStyle name="Normal 2 2 3 3" xfId="1101" xr:uid="{00000000-0005-0000-0000-00000E040000}"/>
    <cellStyle name="Normal 2 2 4" xfId="1102" xr:uid="{00000000-0005-0000-0000-00000F040000}"/>
    <cellStyle name="Normal 2 2 5" xfId="1103" xr:uid="{00000000-0005-0000-0000-000010040000}"/>
    <cellStyle name="Normal 2 2 6" xfId="1104" xr:uid="{00000000-0005-0000-0000-000011040000}"/>
    <cellStyle name="Normal 2 2 7" xfId="1105" xr:uid="{00000000-0005-0000-0000-000012040000}"/>
    <cellStyle name="Normal 2 2_Consolidado" xfId="1106" xr:uid="{00000000-0005-0000-0000-000013040000}"/>
    <cellStyle name="Normal 2 20" xfId="107" xr:uid="{00000000-0005-0000-0000-000014040000}"/>
    <cellStyle name="Normal 2 20 2" xfId="1107" xr:uid="{00000000-0005-0000-0000-000015040000}"/>
    <cellStyle name="Normal 2 20 3" xfId="1108" xr:uid="{00000000-0005-0000-0000-000016040000}"/>
    <cellStyle name="Normal 2 21" xfId="1109" xr:uid="{00000000-0005-0000-0000-000017040000}"/>
    <cellStyle name="Normal 2 21 2" xfId="1110" xr:uid="{00000000-0005-0000-0000-000018040000}"/>
    <cellStyle name="Normal 2 21 3" xfId="1111" xr:uid="{00000000-0005-0000-0000-000019040000}"/>
    <cellStyle name="Normal 2 22" xfId="1112" xr:uid="{00000000-0005-0000-0000-00001A040000}"/>
    <cellStyle name="Normal 2 23" xfId="1113" xr:uid="{00000000-0005-0000-0000-00001B040000}"/>
    <cellStyle name="Normal 2 24" xfId="1114" xr:uid="{00000000-0005-0000-0000-00001C040000}"/>
    <cellStyle name="Normal 2 25" xfId="1115" xr:uid="{00000000-0005-0000-0000-00001D040000}"/>
    <cellStyle name="Normal 2 26" xfId="1116" xr:uid="{00000000-0005-0000-0000-00001E040000}"/>
    <cellStyle name="Normal 2 27" xfId="1117" xr:uid="{00000000-0005-0000-0000-00001F040000}"/>
    <cellStyle name="Normal 2 28" xfId="1118" xr:uid="{00000000-0005-0000-0000-000020040000}"/>
    <cellStyle name="Normal 2 29" xfId="1119" xr:uid="{00000000-0005-0000-0000-000021040000}"/>
    <cellStyle name="Normal 2 3" xfId="108" xr:uid="{00000000-0005-0000-0000-000022040000}"/>
    <cellStyle name="Normal 2 3 2" xfId="1120" xr:uid="{00000000-0005-0000-0000-000023040000}"/>
    <cellStyle name="Normal 2 3 2 2" xfId="1121" xr:uid="{00000000-0005-0000-0000-000024040000}"/>
    <cellStyle name="Normal 2 3 2 3" xfId="1122" xr:uid="{00000000-0005-0000-0000-000025040000}"/>
    <cellStyle name="Normal 2 3 3" xfId="1123" xr:uid="{00000000-0005-0000-0000-000026040000}"/>
    <cellStyle name="Normal 2 3 3 2" xfId="1124" xr:uid="{00000000-0005-0000-0000-000027040000}"/>
    <cellStyle name="Normal 2 3 3 3" xfId="1125" xr:uid="{00000000-0005-0000-0000-000028040000}"/>
    <cellStyle name="Normal 2 3 4" xfId="1126" xr:uid="{00000000-0005-0000-0000-000029040000}"/>
    <cellStyle name="Normal 2 3 5" xfId="1127" xr:uid="{00000000-0005-0000-0000-00002A040000}"/>
    <cellStyle name="Normal 2 3 6" xfId="1128" xr:uid="{00000000-0005-0000-0000-00002B040000}"/>
    <cellStyle name="Normal 2 3 7" xfId="1129" xr:uid="{00000000-0005-0000-0000-00002C040000}"/>
    <cellStyle name="Normal 2 3_Consolidado" xfId="1130" xr:uid="{00000000-0005-0000-0000-00002D040000}"/>
    <cellStyle name="Normal 2 30" xfId="1131" xr:uid="{00000000-0005-0000-0000-00002E040000}"/>
    <cellStyle name="Normal 2 31" xfId="1132" xr:uid="{00000000-0005-0000-0000-00002F040000}"/>
    <cellStyle name="Normal 2 4" xfId="109" xr:uid="{00000000-0005-0000-0000-000030040000}"/>
    <cellStyle name="Normal 2 4 2" xfId="1133" xr:uid="{00000000-0005-0000-0000-000031040000}"/>
    <cellStyle name="Normal 2 4 2 2" xfId="1134" xr:uid="{00000000-0005-0000-0000-000032040000}"/>
    <cellStyle name="Normal 2 4 2 3" xfId="1135" xr:uid="{00000000-0005-0000-0000-000033040000}"/>
    <cellStyle name="Normal 2 4 3" xfId="1136" xr:uid="{00000000-0005-0000-0000-000034040000}"/>
    <cellStyle name="Normal 2 4 3 2" xfId="1137" xr:uid="{00000000-0005-0000-0000-000035040000}"/>
    <cellStyle name="Normal 2 4 3 3" xfId="1138" xr:uid="{00000000-0005-0000-0000-000036040000}"/>
    <cellStyle name="Normal 2 4 4" xfId="1139" xr:uid="{00000000-0005-0000-0000-000037040000}"/>
    <cellStyle name="Normal 2 4 5" xfId="1140" xr:uid="{00000000-0005-0000-0000-000038040000}"/>
    <cellStyle name="Normal 2 4 6" xfId="1141" xr:uid="{00000000-0005-0000-0000-000039040000}"/>
    <cellStyle name="Normal 2 4 7" xfId="1142" xr:uid="{00000000-0005-0000-0000-00003A040000}"/>
    <cellStyle name="Normal 2 4_Consolidado" xfId="1143" xr:uid="{00000000-0005-0000-0000-00003B040000}"/>
    <cellStyle name="Normal 2 48" xfId="1144" xr:uid="{00000000-0005-0000-0000-00003C040000}"/>
    <cellStyle name="Normal 2 5" xfId="110" xr:uid="{00000000-0005-0000-0000-00003D040000}"/>
    <cellStyle name="Normal 2 5 2" xfId="1145" xr:uid="{00000000-0005-0000-0000-00003E040000}"/>
    <cellStyle name="Normal 2 5 2 2" xfId="1146" xr:uid="{00000000-0005-0000-0000-00003F040000}"/>
    <cellStyle name="Normal 2 5 2 3" xfId="1147" xr:uid="{00000000-0005-0000-0000-000040040000}"/>
    <cellStyle name="Normal 2 5 3" xfId="1148" xr:uid="{00000000-0005-0000-0000-000041040000}"/>
    <cellStyle name="Normal 2 5 3 2" xfId="1149" xr:uid="{00000000-0005-0000-0000-000042040000}"/>
    <cellStyle name="Normal 2 5 3 3" xfId="1150" xr:uid="{00000000-0005-0000-0000-000043040000}"/>
    <cellStyle name="Normal 2 5 4" xfId="1151" xr:uid="{00000000-0005-0000-0000-000044040000}"/>
    <cellStyle name="Normal 2 5 5" xfId="1152" xr:uid="{00000000-0005-0000-0000-000045040000}"/>
    <cellStyle name="Normal 2 5 6" xfId="1153" xr:uid="{00000000-0005-0000-0000-000046040000}"/>
    <cellStyle name="Normal 2 5 7" xfId="1154" xr:uid="{00000000-0005-0000-0000-000047040000}"/>
    <cellStyle name="Normal 2 5_Consolidado" xfId="1155" xr:uid="{00000000-0005-0000-0000-000048040000}"/>
    <cellStyle name="Normal 2 6" xfId="111" xr:uid="{00000000-0005-0000-0000-000049040000}"/>
    <cellStyle name="Normal 2 6 2" xfId="1156" xr:uid="{00000000-0005-0000-0000-00004A040000}"/>
    <cellStyle name="Normal 2 6 2 2" xfId="1157" xr:uid="{00000000-0005-0000-0000-00004B040000}"/>
    <cellStyle name="Normal 2 6 2 3" xfId="1158" xr:uid="{00000000-0005-0000-0000-00004C040000}"/>
    <cellStyle name="Normal 2 6 3" xfId="1159" xr:uid="{00000000-0005-0000-0000-00004D040000}"/>
    <cellStyle name="Normal 2 6 3 2" xfId="1160" xr:uid="{00000000-0005-0000-0000-00004E040000}"/>
    <cellStyle name="Normal 2 6 3 3" xfId="1161" xr:uid="{00000000-0005-0000-0000-00004F040000}"/>
    <cellStyle name="Normal 2 6 4" xfId="1162" xr:uid="{00000000-0005-0000-0000-000050040000}"/>
    <cellStyle name="Normal 2 6 5" xfId="1163" xr:uid="{00000000-0005-0000-0000-000051040000}"/>
    <cellStyle name="Normal 2 6 6" xfId="1164" xr:uid="{00000000-0005-0000-0000-000052040000}"/>
    <cellStyle name="Normal 2 6 7" xfId="1165" xr:uid="{00000000-0005-0000-0000-000053040000}"/>
    <cellStyle name="Normal 2 6_Consolidado" xfId="1166" xr:uid="{00000000-0005-0000-0000-000054040000}"/>
    <cellStyle name="Normal 2 7" xfId="112" xr:uid="{00000000-0005-0000-0000-000055040000}"/>
    <cellStyle name="Normal 2 7 2" xfId="1167" xr:uid="{00000000-0005-0000-0000-000056040000}"/>
    <cellStyle name="Normal 2 7 2 2" xfId="1168" xr:uid="{00000000-0005-0000-0000-000057040000}"/>
    <cellStyle name="Normal 2 7 2 3" xfId="1169" xr:uid="{00000000-0005-0000-0000-000058040000}"/>
    <cellStyle name="Normal 2 7 3" xfId="1170" xr:uid="{00000000-0005-0000-0000-000059040000}"/>
    <cellStyle name="Normal 2 7 3 2" xfId="1171" xr:uid="{00000000-0005-0000-0000-00005A040000}"/>
    <cellStyle name="Normal 2 7 3 3" xfId="1172" xr:uid="{00000000-0005-0000-0000-00005B040000}"/>
    <cellStyle name="Normal 2 7 4" xfId="1173" xr:uid="{00000000-0005-0000-0000-00005C040000}"/>
    <cellStyle name="Normal 2 7 5" xfId="1174" xr:uid="{00000000-0005-0000-0000-00005D040000}"/>
    <cellStyle name="Normal 2 7 6" xfId="1175" xr:uid="{00000000-0005-0000-0000-00005E040000}"/>
    <cellStyle name="Normal 2 7 7" xfId="1176" xr:uid="{00000000-0005-0000-0000-00005F040000}"/>
    <cellStyle name="Normal 2 7_Consolidado" xfId="1177" xr:uid="{00000000-0005-0000-0000-000060040000}"/>
    <cellStyle name="Normal 2 8" xfId="113" xr:uid="{00000000-0005-0000-0000-000061040000}"/>
    <cellStyle name="Normal 2 8 2" xfId="1178" xr:uid="{00000000-0005-0000-0000-000062040000}"/>
    <cellStyle name="Normal 2 8 2 2" xfId="1179" xr:uid="{00000000-0005-0000-0000-000063040000}"/>
    <cellStyle name="Normal 2 8 2 3" xfId="1180" xr:uid="{00000000-0005-0000-0000-000064040000}"/>
    <cellStyle name="Normal 2 8 3" xfId="1181" xr:uid="{00000000-0005-0000-0000-000065040000}"/>
    <cellStyle name="Normal 2 8 3 2" xfId="1182" xr:uid="{00000000-0005-0000-0000-000066040000}"/>
    <cellStyle name="Normal 2 8 3 3" xfId="1183" xr:uid="{00000000-0005-0000-0000-000067040000}"/>
    <cellStyle name="Normal 2 8 4" xfId="1184" xr:uid="{00000000-0005-0000-0000-000068040000}"/>
    <cellStyle name="Normal 2 8 5" xfId="1185" xr:uid="{00000000-0005-0000-0000-000069040000}"/>
    <cellStyle name="Normal 2 8 6" xfId="1186" xr:uid="{00000000-0005-0000-0000-00006A040000}"/>
    <cellStyle name="Normal 2 8 7" xfId="1187" xr:uid="{00000000-0005-0000-0000-00006B040000}"/>
    <cellStyle name="Normal 2 8_Consolidado" xfId="1188" xr:uid="{00000000-0005-0000-0000-00006C040000}"/>
    <cellStyle name="Normal 2 9" xfId="114" xr:uid="{00000000-0005-0000-0000-00006D040000}"/>
    <cellStyle name="Normal 2 9 2" xfId="1189" xr:uid="{00000000-0005-0000-0000-00006E040000}"/>
    <cellStyle name="Normal 2 9 2 2" xfId="1190" xr:uid="{00000000-0005-0000-0000-00006F040000}"/>
    <cellStyle name="Normal 2 9 2 3" xfId="1191" xr:uid="{00000000-0005-0000-0000-000070040000}"/>
    <cellStyle name="Normal 2 9 3" xfId="1192" xr:uid="{00000000-0005-0000-0000-000071040000}"/>
    <cellStyle name="Normal 2 9 3 2" xfId="1193" xr:uid="{00000000-0005-0000-0000-000072040000}"/>
    <cellStyle name="Normal 2 9 3 3" xfId="1194" xr:uid="{00000000-0005-0000-0000-000073040000}"/>
    <cellStyle name="Normal 2 9 4" xfId="1195" xr:uid="{00000000-0005-0000-0000-000074040000}"/>
    <cellStyle name="Normal 2 9 5" xfId="1196" xr:uid="{00000000-0005-0000-0000-000075040000}"/>
    <cellStyle name="Normal 2 9 6" xfId="1197" xr:uid="{00000000-0005-0000-0000-000076040000}"/>
    <cellStyle name="Normal 2 9 7" xfId="1198" xr:uid="{00000000-0005-0000-0000-000077040000}"/>
    <cellStyle name="Normal 2 9_Consolidado" xfId="1199" xr:uid="{00000000-0005-0000-0000-000078040000}"/>
    <cellStyle name="Normal 2_F7" xfId="115" xr:uid="{00000000-0005-0000-0000-000079040000}"/>
    <cellStyle name="Normal 20" xfId="116" xr:uid="{00000000-0005-0000-0000-00007A040000}"/>
    <cellStyle name="Normal 20 2" xfId="117" xr:uid="{00000000-0005-0000-0000-00007B040000}"/>
    <cellStyle name="Normal 20 2 2" xfId="1200" xr:uid="{00000000-0005-0000-0000-00007C040000}"/>
    <cellStyle name="Normal 20 2 3" xfId="1201" xr:uid="{00000000-0005-0000-0000-00007D040000}"/>
    <cellStyle name="Normal 20 3" xfId="1202" xr:uid="{00000000-0005-0000-0000-00007E040000}"/>
    <cellStyle name="Normal 20 3 2" xfId="1203" xr:uid="{00000000-0005-0000-0000-00007F040000}"/>
    <cellStyle name="Normal 20 3 3" xfId="1204" xr:uid="{00000000-0005-0000-0000-000080040000}"/>
    <cellStyle name="Normal 20 4" xfId="1205" xr:uid="{00000000-0005-0000-0000-000081040000}"/>
    <cellStyle name="Normal 20 4 2" xfId="1206" xr:uid="{00000000-0005-0000-0000-000082040000}"/>
    <cellStyle name="Normal 20 4 3" xfId="1207" xr:uid="{00000000-0005-0000-0000-000083040000}"/>
    <cellStyle name="Normal 20 5" xfId="1208" xr:uid="{00000000-0005-0000-0000-000084040000}"/>
    <cellStyle name="Normal 20 6" xfId="1209" xr:uid="{00000000-0005-0000-0000-000085040000}"/>
    <cellStyle name="Normal 20 7" xfId="1210" xr:uid="{00000000-0005-0000-0000-000086040000}"/>
    <cellStyle name="Normal 20 8" xfId="1211" xr:uid="{00000000-0005-0000-0000-000087040000}"/>
    <cellStyle name="Normal 20_Consolidado" xfId="1212" xr:uid="{00000000-0005-0000-0000-000088040000}"/>
    <cellStyle name="Normal 21" xfId="118" xr:uid="{00000000-0005-0000-0000-000089040000}"/>
    <cellStyle name="Normal 21 2" xfId="119" xr:uid="{00000000-0005-0000-0000-00008A040000}"/>
    <cellStyle name="Normal 21 2 2" xfId="1213" xr:uid="{00000000-0005-0000-0000-00008B040000}"/>
    <cellStyle name="Normal 21 2 3" xfId="1214" xr:uid="{00000000-0005-0000-0000-00008C040000}"/>
    <cellStyle name="Normal 21 3" xfId="1215" xr:uid="{00000000-0005-0000-0000-00008D040000}"/>
    <cellStyle name="Normal 21 3 2" xfId="1216" xr:uid="{00000000-0005-0000-0000-00008E040000}"/>
    <cellStyle name="Normal 21 3 3" xfId="1217" xr:uid="{00000000-0005-0000-0000-00008F040000}"/>
    <cellStyle name="Normal 21 4" xfId="1218" xr:uid="{00000000-0005-0000-0000-000090040000}"/>
    <cellStyle name="Normal 21 4 2" xfId="1219" xr:uid="{00000000-0005-0000-0000-000091040000}"/>
    <cellStyle name="Normal 21 4 3" xfId="1220" xr:uid="{00000000-0005-0000-0000-000092040000}"/>
    <cellStyle name="Normal 21 5" xfId="1221" xr:uid="{00000000-0005-0000-0000-000093040000}"/>
    <cellStyle name="Normal 21 6" xfId="1222" xr:uid="{00000000-0005-0000-0000-000094040000}"/>
    <cellStyle name="Normal 21 7" xfId="1223" xr:uid="{00000000-0005-0000-0000-000095040000}"/>
    <cellStyle name="Normal 21 8" xfId="1224" xr:uid="{00000000-0005-0000-0000-000096040000}"/>
    <cellStyle name="Normal 21_Consolidado" xfId="1225" xr:uid="{00000000-0005-0000-0000-000097040000}"/>
    <cellStyle name="Normal 22" xfId="218" xr:uid="{00000000-0005-0000-0000-000098040000}"/>
    <cellStyle name="Normal 22 2" xfId="2251" xr:uid="{00000000-0005-0000-0000-000099040000}"/>
    <cellStyle name="Normal 22 2 2" xfId="2252" xr:uid="{00000000-0005-0000-0000-00009A040000}"/>
    <cellStyle name="Normal 22 2 2 2" xfId="2253" xr:uid="{00000000-0005-0000-0000-00009B040000}"/>
    <cellStyle name="Normal 22 2 2 2 2" xfId="2274" xr:uid="{00000000-0005-0000-0000-00009C040000}"/>
    <cellStyle name="Normal 22 2 2 3" xfId="2273" xr:uid="{00000000-0005-0000-0000-00009D040000}"/>
    <cellStyle name="Normal 22 2 3" xfId="2272" xr:uid="{00000000-0005-0000-0000-00009E040000}"/>
    <cellStyle name="Normal 22 3" xfId="2254" xr:uid="{00000000-0005-0000-0000-00009F040000}"/>
    <cellStyle name="Normal 22 3 2" xfId="2275" xr:uid="{00000000-0005-0000-0000-0000A0040000}"/>
    <cellStyle name="Normal 22 4" xfId="2250" xr:uid="{00000000-0005-0000-0000-0000A1040000}"/>
    <cellStyle name="Normal 22 5" xfId="2271" xr:uid="{00000000-0005-0000-0000-0000A2040000}"/>
    <cellStyle name="Normal 23" xfId="120" xr:uid="{00000000-0005-0000-0000-0000A3040000}"/>
    <cellStyle name="Normal 23 2" xfId="121" xr:uid="{00000000-0005-0000-0000-0000A4040000}"/>
    <cellStyle name="Normal 23 2 2" xfId="1226" xr:uid="{00000000-0005-0000-0000-0000A5040000}"/>
    <cellStyle name="Normal 23 2 3" xfId="1227" xr:uid="{00000000-0005-0000-0000-0000A6040000}"/>
    <cellStyle name="Normal 23 3" xfId="1228" xr:uid="{00000000-0005-0000-0000-0000A7040000}"/>
    <cellStyle name="Normal 23 3 2" xfId="1229" xr:uid="{00000000-0005-0000-0000-0000A8040000}"/>
    <cellStyle name="Normal 23 3 3" xfId="1230" xr:uid="{00000000-0005-0000-0000-0000A9040000}"/>
    <cellStyle name="Normal 23 4" xfId="1231" xr:uid="{00000000-0005-0000-0000-0000AA040000}"/>
    <cellStyle name="Normal 23 4 2" xfId="1232" xr:uid="{00000000-0005-0000-0000-0000AB040000}"/>
    <cellStyle name="Normal 23 4 3" xfId="1233" xr:uid="{00000000-0005-0000-0000-0000AC040000}"/>
    <cellStyle name="Normal 23 5" xfId="1234" xr:uid="{00000000-0005-0000-0000-0000AD040000}"/>
    <cellStyle name="Normal 23 6" xfId="1235" xr:uid="{00000000-0005-0000-0000-0000AE040000}"/>
    <cellStyle name="Normal 23 7" xfId="1236" xr:uid="{00000000-0005-0000-0000-0000AF040000}"/>
    <cellStyle name="Normal 23 8" xfId="1237" xr:uid="{00000000-0005-0000-0000-0000B0040000}"/>
    <cellStyle name="Normal 23_Consolidado" xfId="1238" xr:uid="{00000000-0005-0000-0000-0000B1040000}"/>
    <cellStyle name="Normal 24" xfId="122" xr:uid="{00000000-0005-0000-0000-0000B2040000}"/>
    <cellStyle name="Normal 24 2" xfId="123" xr:uid="{00000000-0005-0000-0000-0000B3040000}"/>
    <cellStyle name="Normal 24 2 2" xfId="1239" xr:uid="{00000000-0005-0000-0000-0000B4040000}"/>
    <cellStyle name="Normal 24 2 3" xfId="1240" xr:uid="{00000000-0005-0000-0000-0000B5040000}"/>
    <cellStyle name="Normal 24 3" xfId="1241" xr:uid="{00000000-0005-0000-0000-0000B6040000}"/>
    <cellStyle name="Normal 24 3 2" xfId="1242" xr:uid="{00000000-0005-0000-0000-0000B7040000}"/>
    <cellStyle name="Normal 24 3 3" xfId="1243" xr:uid="{00000000-0005-0000-0000-0000B8040000}"/>
    <cellStyle name="Normal 24 4" xfId="1244" xr:uid="{00000000-0005-0000-0000-0000B9040000}"/>
    <cellStyle name="Normal 24 4 2" xfId="1245" xr:uid="{00000000-0005-0000-0000-0000BA040000}"/>
    <cellStyle name="Normal 24 4 3" xfId="1246" xr:uid="{00000000-0005-0000-0000-0000BB040000}"/>
    <cellStyle name="Normal 24 5" xfId="1247" xr:uid="{00000000-0005-0000-0000-0000BC040000}"/>
    <cellStyle name="Normal 24 6" xfId="1248" xr:uid="{00000000-0005-0000-0000-0000BD040000}"/>
    <cellStyle name="Normal 24 7" xfId="1249" xr:uid="{00000000-0005-0000-0000-0000BE040000}"/>
    <cellStyle name="Normal 24 8" xfId="1250" xr:uid="{00000000-0005-0000-0000-0000BF040000}"/>
    <cellStyle name="Normal 24_Consolidado" xfId="1251" xr:uid="{00000000-0005-0000-0000-0000C0040000}"/>
    <cellStyle name="Normal 25" xfId="124" xr:uid="{00000000-0005-0000-0000-0000C1040000}"/>
    <cellStyle name="Normal 25 2" xfId="125" xr:uid="{00000000-0005-0000-0000-0000C2040000}"/>
    <cellStyle name="Normal 25 2 2" xfId="1252" xr:uid="{00000000-0005-0000-0000-0000C3040000}"/>
    <cellStyle name="Normal 25 2 3" xfId="1253" xr:uid="{00000000-0005-0000-0000-0000C4040000}"/>
    <cellStyle name="Normal 25 3" xfId="1254" xr:uid="{00000000-0005-0000-0000-0000C5040000}"/>
    <cellStyle name="Normal 25 3 2" xfId="1255" xr:uid="{00000000-0005-0000-0000-0000C6040000}"/>
    <cellStyle name="Normal 25 3 3" xfId="1256" xr:uid="{00000000-0005-0000-0000-0000C7040000}"/>
    <cellStyle name="Normal 25 4" xfId="1257" xr:uid="{00000000-0005-0000-0000-0000C8040000}"/>
    <cellStyle name="Normal 25 4 2" xfId="1258" xr:uid="{00000000-0005-0000-0000-0000C9040000}"/>
    <cellStyle name="Normal 25 4 3" xfId="1259" xr:uid="{00000000-0005-0000-0000-0000CA040000}"/>
    <cellStyle name="Normal 25 5" xfId="1260" xr:uid="{00000000-0005-0000-0000-0000CB040000}"/>
    <cellStyle name="Normal 25 6" xfId="1261" xr:uid="{00000000-0005-0000-0000-0000CC040000}"/>
    <cellStyle name="Normal 25 7" xfId="1262" xr:uid="{00000000-0005-0000-0000-0000CD040000}"/>
    <cellStyle name="Normal 25 8" xfId="1263" xr:uid="{00000000-0005-0000-0000-0000CE040000}"/>
    <cellStyle name="Normal 25_Consolidado" xfId="1264" xr:uid="{00000000-0005-0000-0000-0000CF040000}"/>
    <cellStyle name="Normal 26" xfId="126" xr:uid="{00000000-0005-0000-0000-0000D0040000}"/>
    <cellStyle name="Normal 26 2" xfId="127" xr:uid="{00000000-0005-0000-0000-0000D1040000}"/>
    <cellStyle name="Normal 26 2 2" xfId="1265" xr:uid="{00000000-0005-0000-0000-0000D2040000}"/>
    <cellStyle name="Normal 26 2 3" xfId="1266" xr:uid="{00000000-0005-0000-0000-0000D3040000}"/>
    <cellStyle name="Normal 26 3" xfId="1267" xr:uid="{00000000-0005-0000-0000-0000D4040000}"/>
    <cellStyle name="Normal 26 3 2" xfId="1268" xr:uid="{00000000-0005-0000-0000-0000D5040000}"/>
    <cellStyle name="Normal 26 3 3" xfId="1269" xr:uid="{00000000-0005-0000-0000-0000D6040000}"/>
    <cellStyle name="Normal 26 4" xfId="1270" xr:uid="{00000000-0005-0000-0000-0000D7040000}"/>
    <cellStyle name="Normal 26 4 2" xfId="1271" xr:uid="{00000000-0005-0000-0000-0000D8040000}"/>
    <cellStyle name="Normal 26 4 3" xfId="1272" xr:uid="{00000000-0005-0000-0000-0000D9040000}"/>
    <cellStyle name="Normal 26 5" xfId="1273" xr:uid="{00000000-0005-0000-0000-0000DA040000}"/>
    <cellStyle name="Normal 26 6" xfId="1274" xr:uid="{00000000-0005-0000-0000-0000DB040000}"/>
    <cellStyle name="Normal 26 7" xfId="1275" xr:uid="{00000000-0005-0000-0000-0000DC040000}"/>
    <cellStyle name="Normal 26 8" xfId="1276" xr:uid="{00000000-0005-0000-0000-0000DD040000}"/>
    <cellStyle name="Normal 26_Consolidado" xfId="1277" xr:uid="{00000000-0005-0000-0000-0000DE040000}"/>
    <cellStyle name="Normal 27" xfId="128" xr:uid="{00000000-0005-0000-0000-0000DF040000}"/>
    <cellStyle name="Normal 27 2" xfId="129" xr:uid="{00000000-0005-0000-0000-0000E0040000}"/>
    <cellStyle name="Normal 27 2 2" xfId="1278" xr:uid="{00000000-0005-0000-0000-0000E1040000}"/>
    <cellStyle name="Normal 27 2 3" xfId="1279" xr:uid="{00000000-0005-0000-0000-0000E2040000}"/>
    <cellStyle name="Normal 27 3" xfId="1280" xr:uid="{00000000-0005-0000-0000-0000E3040000}"/>
    <cellStyle name="Normal 27 3 2" xfId="1281" xr:uid="{00000000-0005-0000-0000-0000E4040000}"/>
    <cellStyle name="Normal 27 3 3" xfId="1282" xr:uid="{00000000-0005-0000-0000-0000E5040000}"/>
    <cellStyle name="Normal 27 4" xfId="1283" xr:uid="{00000000-0005-0000-0000-0000E6040000}"/>
    <cellStyle name="Normal 27 4 2" xfId="1284" xr:uid="{00000000-0005-0000-0000-0000E7040000}"/>
    <cellStyle name="Normal 27 4 3" xfId="1285" xr:uid="{00000000-0005-0000-0000-0000E8040000}"/>
    <cellStyle name="Normal 27 5" xfId="1286" xr:uid="{00000000-0005-0000-0000-0000E9040000}"/>
    <cellStyle name="Normal 27 6" xfId="1287" xr:uid="{00000000-0005-0000-0000-0000EA040000}"/>
    <cellStyle name="Normal 27 7" xfId="1288" xr:uid="{00000000-0005-0000-0000-0000EB040000}"/>
    <cellStyle name="Normal 27 8" xfId="1289" xr:uid="{00000000-0005-0000-0000-0000EC040000}"/>
    <cellStyle name="Normal 27_Consolidado" xfId="1290" xr:uid="{00000000-0005-0000-0000-0000ED040000}"/>
    <cellStyle name="Normal 28" xfId="130" xr:uid="{00000000-0005-0000-0000-0000EE040000}"/>
    <cellStyle name="Normal 28 2" xfId="131" xr:uid="{00000000-0005-0000-0000-0000EF040000}"/>
    <cellStyle name="Normal 28 2 2" xfId="1291" xr:uid="{00000000-0005-0000-0000-0000F0040000}"/>
    <cellStyle name="Normal 28 2 3" xfId="1292" xr:uid="{00000000-0005-0000-0000-0000F1040000}"/>
    <cellStyle name="Normal 28 3" xfId="1293" xr:uid="{00000000-0005-0000-0000-0000F2040000}"/>
    <cellStyle name="Normal 28 3 2" xfId="1294" xr:uid="{00000000-0005-0000-0000-0000F3040000}"/>
    <cellStyle name="Normal 28 3 3" xfId="1295" xr:uid="{00000000-0005-0000-0000-0000F4040000}"/>
    <cellStyle name="Normal 28 4" xfId="1296" xr:uid="{00000000-0005-0000-0000-0000F5040000}"/>
    <cellStyle name="Normal 28 4 2" xfId="1297" xr:uid="{00000000-0005-0000-0000-0000F6040000}"/>
    <cellStyle name="Normal 28 4 3" xfId="1298" xr:uid="{00000000-0005-0000-0000-0000F7040000}"/>
    <cellStyle name="Normal 28 5" xfId="1299" xr:uid="{00000000-0005-0000-0000-0000F8040000}"/>
    <cellStyle name="Normal 28 6" xfId="1300" xr:uid="{00000000-0005-0000-0000-0000F9040000}"/>
    <cellStyle name="Normal 28 7" xfId="1301" xr:uid="{00000000-0005-0000-0000-0000FA040000}"/>
    <cellStyle name="Normal 28 8" xfId="1302" xr:uid="{00000000-0005-0000-0000-0000FB040000}"/>
    <cellStyle name="Normal 28_Consolidado" xfId="1303" xr:uid="{00000000-0005-0000-0000-0000FC040000}"/>
    <cellStyle name="Normal 29" xfId="132" xr:uid="{00000000-0005-0000-0000-0000FD040000}"/>
    <cellStyle name="Normal 29 2" xfId="133" xr:uid="{00000000-0005-0000-0000-0000FE040000}"/>
    <cellStyle name="Normal 29 2 2" xfId="1304" xr:uid="{00000000-0005-0000-0000-0000FF040000}"/>
    <cellStyle name="Normal 29 2 3" xfId="1305" xr:uid="{00000000-0005-0000-0000-000000050000}"/>
    <cellStyle name="Normal 29 3" xfId="1306" xr:uid="{00000000-0005-0000-0000-000001050000}"/>
    <cellStyle name="Normal 29 3 2" xfId="1307" xr:uid="{00000000-0005-0000-0000-000002050000}"/>
    <cellStyle name="Normal 29 3 3" xfId="1308" xr:uid="{00000000-0005-0000-0000-000003050000}"/>
    <cellStyle name="Normal 29 4" xfId="1309" xr:uid="{00000000-0005-0000-0000-000004050000}"/>
    <cellStyle name="Normal 29 4 2" xfId="1310" xr:uid="{00000000-0005-0000-0000-000005050000}"/>
    <cellStyle name="Normal 29 4 3" xfId="1311" xr:uid="{00000000-0005-0000-0000-000006050000}"/>
    <cellStyle name="Normal 29 5" xfId="1312" xr:uid="{00000000-0005-0000-0000-000007050000}"/>
    <cellStyle name="Normal 29 6" xfId="1313" xr:uid="{00000000-0005-0000-0000-000008050000}"/>
    <cellStyle name="Normal 29 7" xfId="1314" xr:uid="{00000000-0005-0000-0000-000009050000}"/>
    <cellStyle name="Normal 29 8" xfId="1315" xr:uid="{00000000-0005-0000-0000-00000A050000}"/>
    <cellStyle name="Normal 29_Consolidado" xfId="1316" xr:uid="{00000000-0005-0000-0000-00000B050000}"/>
    <cellStyle name="Normal 3" xfId="134" xr:uid="{00000000-0005-0000-0000-00000C050000}"/>
    <cellStyle name="Normal 3 10" xfId="135" xr:uid="{00000000-0005-0000-0000-00000D050000}"/>
    <cellStyle name="Normal 3 10 2" xfId="1317" xr:uid="{00000000-0005-0000-0000-00000E050000}"/>
    <cellStyle name="Normal 3 10 2 2" xfId="1318" xr:uid="{00000000-0005-0000-0000-00000F050000}"/>
    <cellStyle name="Normal 3 10 2 3" xfId="1319" xr:uid="{00000000-0005-0000-0000-000010050000}"/>
    <cellStyle name="Normal 3 10 3" xfId="1320" xr:uid="{00000000-0005-0000-0000-000011050000}"/>
    <cellStyle name="Normal 3 10 3 2" xfId="1321" xr:uid="{00000000-0005-0000-0000-000012050000}"/>
    <cellStyle name="Normal 3 10 3 3" xfId="1322" xr:uid="{00000000-0005-0000-0000-000013050000}"/>
    <cellStyle name="Normal 3 10 4" xfId="1323" xr:uid="{00000000-0005-0000-0000-000014050000}"/>
    <cellStyle name="Normal 3 10 5" xfId="1324" xr:uid="{00000000-0005-0000-0000-000015050000}"/>
    <cellStyle name="Normal 3 10 6" xfId="1325" xr:uid="{00000000-0005-0000-0000-000016050000}"/>
    <cellStyle name="Normal 3 10 7" xfId="1326" xr:uid="{00000000-0005-0000-0000-000017050000}"/>
    <cellStyle name="Normal 3 10_Consolidado" xfId="1327" xr:uid="{00000000-0005-0000-0000-000018050000}"/>
    <cellStyle name="Normal 3 11" xfId="136" xr:uid="{00000000-0005-0000-0000-000019050000}"/>
    <cellStyle name="Normal 3 11 2" xfId="1328" xr:uid="{00000000-0005-0000-0000-00001A050000}"/>
    <cellStyle name="Normal 3 11 2 2" xfId="1329" xr:uid="{00000000-0005-0000-0000-00001B050000}"/>
    <cellStyle name="Normal 3 11 2 3" xfId="1330" xr:uid="{00000000-0005-0000-0000-00001C050000}"/>
    <cellStyle name="Normal 3 11 3" xfId="1331" xr:uid="{00000000-0005-0000-0000-00001D050000}"/>
    <cellStyle name="Normal 3 11 3 2" xfId="1332" xr:uid="{00000000-0005-0000-0000-00001E050000}"/>
    <cellStyle name="Normal 3 11 3 3" xfId="1333" xr:uid="{00000000-0005-0000-0000-00001F050000}"/>
    <cellStyle name="Normal 3 11 4" xfId="1334" xr:uid="{00000000-0005-0000-0000-000020050000}"/>
    <cellStyle name="Normal 3 11 5" xfId="1335" xr:uid="{00000000-0005-0000-0000-000021050000}"/>
    <cellStyle name="Normal 3 11 6" xfId="1336" xr:uid="{00000000-0005-0000-0000-000022050000}"/>
    <cellStyle name="Normal 3 11 7" xfId="1337" xr:uid="{00000000-0005-0000-0000-000023050000}"/>
    <cellStyle name="Normal 3 11_Consolidado" xfId="1338" xr:uid="{00000000-0005-0000-0000-000024050000}"/>
    <cellStyle name="Normal 3 12" xfId="137" xr:uid="{00000000-0005-0000-0000-000025050000}"/>
    <cellStyle name="Normal 3 12 2" xfId="1339" xr:uid="{00000000-0005-0000-0000-000026050000}"/>
    <cellStyle name="Normal 3 12 2 2" xfId="1340" xr:uid="{00000000-0005-0000-0000-000027050000}"/>
    <cellStyle name="Normal 3 12 2 3" xfId="1341" xr:uid="{00000000-0005-0000-0000-000028050000}"/>
    <cellStyle name="Normal 3 12 3" xfId="1342" xr:uid="{00000000-0005-0000-0000-000029050000}"/>
    <cellStyle name="Normal 3 12 3 2" xfId="1343" xr:uid="{00000000-0005-0000-0000-00002A050000}"/>
    <cellStyle name="Normal 3 12 3 3" xfId="1344" xr:uid="{00000000-0005-0000-0000-00002B050000}"/>
    <cellStyle name="Normal 3 12 4" xfId="1345" xr:uid="{00000000-0005-0000-0000-00002C050000}"/>
    <cellStyle name="Normal 3 12 5" xfId="1346" xr:uid="{00000000-0005-0000-0000-00002D050000}"/>
    <cellStyle name="Normal 3 12 6" xfId="1347" xr:uid="{00000000-0005-0000-0000-00002E050000}"/>
    <cellStyle name="Normal 3 12 7" xfId="1348" xr:uid="{00000000-0005-0000-0000-00002F050000}"/>
    <cellStyle name="Normal 3 12_Consolidado" xfId="1349" xr:uid="{00000000-0005-0000-0000-000030050000}"/>
    <cellStyle name="Normal 3 13" xfId="138" xr:uid="{00000000-0005-0000-0000-000031050000}"/>
    <cellStyle name="Normal 3 13 2" xfId="1350" xr:uid="{00000000-0005-0000-0000-000032050000}"/>
    <cellStyle name="Normal 3 13 2 2" xfId="1351" xr:uid="{00000000-0005-0000-0000-000033050000}"/>
    <cellStyle name="Normal 3 13 2 3" xfId="1352" xr:uid="{00000000-0005-0000-0000-000034050000}"/>
    <cellStyle name="Normal 3 13 3" xfId="1353" xr:uid="{00000000-0005-0000-0000-000035050000}"/>
    <cellStyle name="Normal 3 13 3 2" xfId="1354" xr:uid="{00000000-0005-0000-0000-000036050000}"/>
    <cellStyle name="Normal 3 13 3 3" xfId="1355" xr:uid="{00000000-0005-0000-0000-000037050000}"/>
    <cellStyle name="Normal 3 13 4" xfId="1356" xr:uid="{00000000-0005-0000-0000-000038050000}"/>
    <cellStyle name="Normal 3 13 5" xfId="1357" xr:uid="{00000000-0005-0000-0000-000039050000}"/>
    <cellStyle name="Normal 3 13 6" xfId="1358" xr:uid="{00000000-0005-0000-0000-00003A050000}"/>
    <cellStyle name="Normal 3 13 7" xfId="1359" xr:uid="{00000000-0005-0000-0000-00003B050000}"/>
    <cellStyle name="Normal 3 13_Consolidado" xfId="1360" xr:uid="{00000000-0005-0000-0000-00003C050000}"/>
    <cellStyle name="Normal 3 14" xfId="139" xr:uid="{00000000-0005-0000-0000-00003D050000}"/>
    <cellStyle name="Normal 3 14 2" xfId="1361" xr:uid="{00000000-0005-0000-0000-00003E050000}"/>
    <cellStyle name="Normal 3 14 2 2" xfId="1362" xr:uid="{00000000-0005-0000-0000-00003F050000}"/>
    <cellStyle name="Normal 3 14 2 3" xfId="1363" xr:uid="{00000000-0005-0000-0000-000040050000}"/>
    <cellStyle name="Normal 3 14 3" xfId="1364" xr:uid="{00000000-0005-0000-0000-000041050000}"/>
    <cellStyle name="Normal 3 14 3 2" xfId="1365" xr:uid="{00000000-0005-0000-0000-000042050000}"/>
    <cellStyle name="Normal 3 14 3 3" xfId="1366" xr:uid="{00000000-0005-0000-0000-000043050000}"/>
    <cellStyle name="Normal 3 14 4" xfId="1367" xr:uid="{00000000-0005-0000-0000-000044050000}"/>
    <cellStyle name="Normal 3 14 5" xfId="1368" xr:uid="{00000000-0005-0000-0000-000045050000}"/>
    <cellStyle name="Normal 3 14 6" xfId="1369" xr:uid="{00000000-0005-0000-0000-000046050000}"/>
    <cellStyle name="Normal 3 14 7" xfId="1370" xr:uid="{00000000-0005-0000-0000-000047050000}"/>
    <cellStyle name="Normal 3 14_Consolidado" xfId="1371" xr:uid="{00000000-0005-0000-0000-000048050000}"/>
    <cellStyle name="Normal 3 15" xfId="140" xr:uid="{00000000-0005-0000-0000-000049050000}"/>
    <cellStyle name="Normal 3 15 2" xfId="1372" xr:uid="{00000000-0005-0000-0000-00004A050000}"/>
    <cellStyle name="Normal 3 15 3" xfId="1373" xr:uid="{00000000-0005-0000-0000-00004B050000}"/>
    <cellStyle name="Normal 3 16" xfId="141" xr:uid="{00000000-0005-0000-0000-00004C050000}"/>
    <cellStyle name="Normal 3 16 2" xfId="1374" xr:uid="{00000000-0005-0000-0000-00004D050000}"/>
    <cellStyle name="Normal 3 16 3" xfId="1375" xr:uid="{00000000-0005-0000-0000-00004E050000}"/>
    <cellStyle name="Normal 3 17" xfId="1376" xr:uid="{00000000-0005-0000-0000-00004F050000}"/>
    <cellStyle name="Normal 3 17 2" xfId="1377" xr:uid="{00000000-0005-0000-0000-000050050000}"/>
    <cellStyle name="Normal 3 17 3" xfId="1378" xr:uid="{00000000-0005-0000-0000-000051050000}"/>
    <cellStyle name="Normal 3 18" xfId="1379" xr:uid="{00000000-0005-0000-0000-000052050000}"/>
    <cellStyle name="Normal 3 19" xfId="1380" xr:uid="{00000000-0005-0000-0000-000053050000}"/>
    <cellStyle name="Normal 3 2" xfId="142" xr:uid="{00000000-0005-0000-0000-000054050000}"/>
    <cellStyle name="Normal 3 2 2" xfId="1381" xr:uid="{00000000-0005-0000-0000-000055050000}"/>
    <cellStyle name="Normal 3 2 2 2" xfId="1382" xr:uid="{00000000-0005-0000-0000-000056050000}"/>
    <cellStyle name="Normal 3 2 2 3" xfId="1383" xr:uid="{00000000-0005-0000-0000-000057050000}"/>
    <cellStyle name="Normal 3 2 3" xfId="1384" xr:uid="{00000000-0005-0000-0000-000058050000}"/>
    <cellStyle name="Normal 3 2 3 2" xfId="1385" xr:uid="{00000000-0005-0000-0000-000059050000}"/>
    <cellStyle name="Normal 3 2 3 3" xfId="1386" xr:uid="{00000000-0005-0000-0000-00005A050000}"/>
    <cellStyle name="Normal 3 2 4" xfId="1387" xr:uid="{00000000-0005-0000-0000-00005B050000}"/>
    <cellStyle name="Normal 3 2 5" xfId="1388" xr:uid="{00000000-0005-0000-0000-00005C050000}"/>
    <cellStyle name="Normal 3 2 6" xfId="1389" xr:uid="{00000000-0005-0000-0000-00005D050000}"/>
    <cellStyle name="Normal 3 2 7" xfId="1390" xr:uid="{00000000-0005-0000-0000-00005E050000}"/>
    <cellStyle name="Normal 3 2_Consolidado" xfId="1391" xr:uid="{00000000-0005-0000-0000-00005F050000}"/>
    <cellStyle name="Normal 3 20" xfId="1392" xr:uid="{00000000-0005-0000-0000-000060050000}"/>
    <cellStyle name="Normal 3 21" xfId="1393" xr:uid="{00000000-0005-0000-0000-000061050000}"/>
    <cellStyle name="Normal 3 3" xfId="143" xr:uid="{00000000-0005-0000-0000-000062050000}"/>
    <cellStyle name="Normal 3 3 2" xfId="1394" xr:uid="{00000000-0005-0000-0000-000063050000}"/>
    <cellStyle name="Normal 3 3 2 2" xfId="1395" xr:uid="{00000000-0005-0000-0000-000064050000}"/>
    <cellStyle name="Normal 3 3 2 3" xfId="1396" xr:uid="{00000000-0005-0000-0000-000065050000}"/>
    <cellStyle name="Normal 3 3 3" xfId="1397" xr:uid="{00000000-0005-0000-0000-000066050000}"/>
    <cellStyle name="Normal 3 3 3 2" xfId="1398" xr:uid="{00000000-0005-0000-0000-000067050000}"/>
    <cellStyle name="Normal 3 3 3 3" xfId="1399" xr:uid="{00000000-0005-0000-0000-000068050000}"/>
    <cellStyle name="Normal 3 3 4" xfId="1400" xr:uid="{00000000-0005-0000-0000-000069050000}"/>
    <cellStyle name="Normal 3 3 5" xfId="1401" xr:uid="{00000000-0005-0000-0000-00006A050000}"/>
    <cellStyle name="Normal 3 3 6" xfId="1402" xr:uid="{00000000-0005-0000-0000-00006B050000}"/>
    <cellStyle name="Normal 3 3 7" xfId="1403" xr:uid="{00000000-0005-0000-0000-00006C050000}"/>
    <cellStyle name="Normal 3 3_Consolidado" xfId="1404" xr:uid="{00000000-0005-0000-0000-00006D050000}"/>
    <cellStyle name="Normal 3 4" xfId="144" xr:uid="{00000000-0005-0000-0000-00006E050000}"/>
    <cellStyle name="Normal 3 4 2" xfId="1405" xr:uid="{00000000-0005-0000-0000-00006F050000}"/>
    <cellStyle name="Normal 3 4 2 2" xfId="1406" xr:uid="{00000000-0005-0000-0000-000070050000}"/>
    <cellStyle name="Normal 3 4 2 3" xfId="1407" xr:uid="{00000000-0005-0000-0000-000071050000}"/>
    <cellStyle name="Normal 3 4 3" xfId="1408" xr:uid="{00000000-0005-0000-0000-000072050000}"/>
    <cellStyle name="Normal 3 4 3 2" xfId="1409" xr:uid="{00000000-0005-0000-0000-000073050000}"/>
    <cellStyle name="Normal 3 4 3 3" xfId="1410" xr:uid="{00000000-0005-0000-0000-000074050000}"/>
    <cellStyle name="Normal 3 4 4" xfId="1411" xr:uid="{00000000-0005-0000-0000-000075050000}"/>
    <cellStyle name="Normal 3 4 5" xfId="1412" xr:uid="{00000000-0005-0000-0000-000076050000}"/>
    <cellStyle name="Normal 3 4 6" xfId="1413" xr:uid="{00000000-0005-0000-0000-000077050000}"/>
    <cellStyle name="Normal 3 4 7" xfId="1414" xr:uid="{00000000-0005-0000-0000-000078050000}"/>
    <cellStyle name="Normal 3 4_Consolidado" xfId="1415" xr:uid="{00000000-0005-0000-0000-000079050000}"/>
    <cellStyle name="Normal 3 5" xfId="145" xr:uid="{00000000-0005-0000-0000-00007A050000}"/>
    <cellStyle name="Normal 3 5 2" xfId="1416" xr:uid="{00000000-0005-0000-0000-00007B050000}"/>
    <cellStyle name="Normal 3 5 2 2" xfId="1417" xr:uid="{00000000-0005-0000-0000-00007C050000}"/>
    <cellStyle name="Normal 3 5 2 3" xfId="1418" xr:uid="{00000000-0005-0000-0000-00007D050000}"/>
    <cellStyle name="Normal 3 5 3" xfId="1419" xr:uid="{00000000-0005-0000-0000-00007E050000}"/>
    <cellStyle name="Normal 3 5 3 2" xfId="1420" xr:uid="{00000000-0005-0000-0000-00007F050000}"/>
    <cellStyle name="Normal 3 5 3 3" xfId="1421" xr:uid="{00000000-0005-0000-0000-000080050000}"/>
    <cellStyle name="Normal 3 5 4" xfId="1422" xr:uid="{00000000-0005-0000-0000-000081050000}"/>
    <cellStyle name="Normal 3 5 5" xfId="1423" xr:uid="{00000000-0005-0000-0000-000082050000}"/>
    <cellStyle name="Normal 3 5 6" xfId="1424" xr:uid="{00000000-0005-0000-0000-000083050000}"/>
    <cellStyle name="Normal 3 5 7" xfId="1425" xr:uid="{00000000-0005-0000-0000-000084050000}"/>
    <cellStyle name="Normal 3 5_Consolidado" xfId="1426" xr:uid="{00000000-0005-0000-0000-000085050000}"/>
    <cellStyle name="Normal 3 6" xfId="146" xr:uid="{00000000-0005-0000-0000-000086050000}"/>
    <cellStyle name="Normal 3 6 2" xfId="1427" xr:uid="{00000000-0005-0000-0000-000087050000}"/>
    <cellStyle name="Normal 3 6 2 2" xfId="1428" xr:uid="{00000000-0005-0000-0000-000088050000}"/>
    <cellStyle name="Normal 3 6 2 3" xfId="1429" xr:uid="{00000000-0005-0000-0000-000089050000}"/>
    <cellStyle name="Normal 3 6 3" xfId="1430" xr:uid="{00000000-0005-0000-0000-00008A050000}"/>
    <cellStyle name="Normal 3 6 3 2" xfId="1431" xr:uid="{00000000-0005-0000-0000-00008B050000}"/>
    <cellStyle name="Normal 3 6 3 3" xfId="1432" xr:uid="{00000000-0005-0000-0000-00008C050000}"/>
    <cellStyle name="Normal 3 6 4" xfId="1433" xr:uid="{00000000-0005-0000-0000-00008D050000}"/>
    <cellStyle name="Normal 3 6 5" xfId="1434" xr:uid="{00000000-0005-0000-0000-00008E050000}"/>
    <cellStyle name="Normal 3 6 6" xfId="1435" xr:uid="{00000000-0005-0000-0000-00008F050000}"/>
    <cellStyle name="Normal 3 6 7" xfId="1436" xr:uid="{00000000-0005-0000-0000-000090050000}"/>
    <cellStyle name="Normal 3 6_Consolidado" xfId="1437" xr:uid="{00000000-0005-0000-0000-000091050000}"/>
    <cellStyle name="Normal 3 7" xfId="147" xr:uid="{00000000-0005-0000-0000-000092050000}"/>
    <cellStyle name="Normal 3 7 2" xfId="1438" xr:uid="{00000000-0005-0000-0000-000093050000}"/>
    <cellStyle name="Normal 3 7 2 2" xfId="1439" xr:uid="{00000000-0005-0000-0000-000094050000}"/>
    <cellStyle name="Normal 3 7 2 3" xfId="1440" xr:uid="{00000000-0005-0000-0000-000095050000}"/>
    <cellStyle name="Normal 3 7 3" xfId="1441" xr:uid="{00000000-0005-0000-0000-000096050000}"/>
    <cellStyle name="Normal 3 7 3 2" xfId="1442" xr:uid="{00000000-0005-0000-0000-000097050000}"/>
    <cellStyle name="Normal 3 7 3 3" xfId="1443" xr:uid="{00000000-0005-0000-0000-000098050000}"/>
    <cellStyle name="Normal 3 7 4" xfId="1444" xr:uid="{00000000-0005-0000-0000-000099050000}"/>
    <cellStyle name="Normal 3 7 5" xfId="1445" xr:uid="{00000000-0005-0000-0000-00009A050000}"/>
    <cellStyle name="Normal 3 7 6" xfId="1446" xr:uid="{00000000-0005-0000-0000-00009B050000}"/>
    <cellStyle name="Normal 3 7 7" xfId="1447" xr:uid="{00000000-0005-0000-0000-00009C050000}"/>
    <cellStyle name="Normal 3 7_Consolidado" xfId="1448" xr:uid="{00000000-0005-0000-0000-00009D050000}"/>
    <cellStyle name="Normal 3 8" xfId="148" xr:uid="{00000000-0005-0000-0000-00009E050000}"/>
    <cellStyle name="Normal 3 8 2" xfId="1449" xr:uid="{00000000-0005-0000-0000-00009F050000}"/>
    <cellStyle name="Normal 3 8 2 2" xfId="1450" xr:uid="{00000000-0005-0000-0000-0000A0050000}"/>
    <cellStyle name="Normal 3 8 2 3" xfId="1451" xr:uid="{00000000-0005-0000-0000-0000A1050000}"/>
    <cellStyle name="Normal 3 8 3" xfId="1452" xr:uid="{00000000-0005-0000-0000-0000A2050000}"/>
    <cellStyle name="Normal 3 8 3 2" xfId="1453" xr:uid="{00000000-0005-0000-0000-0000A3050000}"/>
    <cellStyle name="Normal 3 8 3 3" xfId="1454" xr:uid="{00000000-0005-0000-0000-0000A4050000}"/>
    <cellStyle name="Normal 3 8 4" xfId="1455" xr:uid="{00000000-0005-0000-0000-0000A5050000}"/>
    <cellStyle name="Normal 3 8 5" xfId="1456" xr:uid="{00000000-0005-0000-0000-0000A6050000}"/>
    <cellStyle name="Normal 3 8 6" xfId="1457" xr:uid="{00000000-0005-0000-0000-0000A7050000}"/>
    <cellStyle name="Normal 3 8 7" xfId="1458" xr:uid="{00000000-0005-0000-0000-0000A8050000}"/>
    <cellStyle name="Normal 3 8_Consolidado" xfId="1459" xr:uid="{00000000-0005-0000-0000-0000A9050000}"/>
    <cellStyle name="Normal 3 9" xfId="149" xr:uid="{00000000-0005-0000-0000-0000AA050000}"/>
    <cellStyle name="Normal 3 9 2" xfId="1460" xr:uid="{00000000-0005-0000-0000-0000AB050000}"/>
    <cellStyle name="Normal 3 9 2 2" xfId="1461" xr:uid="{00000000-0005-0000-0000-0000AC050000}"/>
    <cellStyle name="Normal 3 9 2 3" xfId="1462" xr:uid="{00000000-0005-0000-0000-0000AD050000}"/>
    <cellStyle name="Normal 3 9 3" xfId="1463" xr:uid="{00000000-0005-0000-0000-0000AE050000}"/>
    <cellStyle name="Normal 3 9 3 2" xfId="1464" xr:uid="{00000000-0005-0000-0000-0000AF050000}"/>
    <cellStyle name="Normal 3 9 3 3" xfId="1465" xr:uid="{00000000-0005-0000-0000-0000B0050000}"/>
    <cellStyle name="Normal 3 9 4" xfId="1466" xr:uid="{00000000-0005-0000-0000-0000B1050000}"/>
    <cellStyle name="Normal 3 9 5" xfId="1467" xr:uid="{00000000-0005-0000-0000-0000B2050000}"/>
    <cellStyle name="Normal 3 9 6" xfId="1468" xr:uid="{00000000-0005-0000-0000-0000B3050000}"/>
    <cellStyle name="Normal 3 9 7" xfId="1469" xr:uid="{00000000-0005-0000-0000-0000B4050000}"/>
    <cellStyle name="Normal 3 9_Consolidado" xfId="1470" xr:uid="{00000000-0005-0000-0000-0000B5050000}"/>
    <cellStyle name="Normal 3_Consolidado" xfId="1471" xr:uid="{00000000-0005-0000-0000-0000B6050000}"/>
    <cellStyle name="Normal 30" xfId="219" xr:uid="{00000000-0005-0000-0000-0000B7050000}"/>
    <cellStyle name="Normal 30 2" xfId="2256" xr:uid="{00000000-0005-0000-0000-0000B8050000}"/>
    <cellStyle name="Normal 30 2 2" xfId="2257" xr:uid="{00000000-0005-0000-0000-0000B9050000}"/>
    <cellStyle name="Normal 30 2 2 2" xfId="2278" xr:uid="{00000000-0005-0000-0000-0000BA050000}"/>
    <cellStyle name="Normal 30 2 3" xfId="2277" xr:uid="{00000000-0005-0000-0000-0000BB050000}"/>
    <cellStyle name="Normal 30 2 3 2" xfId="2266" xr:uid="{00000000-0005-0000-0000-0000BC050000}"/>
    <cellStyle name="Normal 30 2 3 2 2" xfId="2282" xr:uid="{00000000-0005-0000-0000-0000BD050000}"/>
    <cellStyle name="Normal 30 2 3 2 2 2" xfId="2286" xr:uid="{00000000-0005-0000-0000-0000BE050000}"/>
    <cellStyle name="Normal 30 3" xfId="2255" xr:uid="{00000000-0005-0000-0000-0000BF050000}"/>
    <cellStyle name="Normal 30 4" xfId="2276" xr:uid="{00000000-0005-0000-0000-0000C0050000}"/>
    <cellStyle name="Normal 31" xfId="1472" xr:uid="{00000000-0005-0000-0000-0000C1050000}"/>
    <cellStyle name="Normal 31 2" xfId="1473" xr:uid="{00000000-0005-0000-0000-0000C2050000}"/>
    <cellStyle name="Normal 31 2 2" xfId="2259" xr:uid="{00000000-0005-0000-0000-0000C3050000}"/>
    <cellStyle name="Normal 31 2 3" xfId="2280" xr:uid="{00000000-0005-0000-0000-0000C4050000}"/>
    <cellStyle name="Normal 31 3" xfId="2258" xr:uid="{00000000-0005-0000-0000-0000C5050000}"/>
    <cellStyle name="Normal 31 4" xfId="2279" xr:uid="{00000000-0005-0000-0000-0000C6050000}"/>
    <cellStyle name="Normal 32" xfId="1474" xr:uid="{00000000-0005-0000-0000-0000C7050000}"/>
    <cellStyle name="Normal 33" xfId="1475" xr:uid="{00000000-0005-0000-0000-0000C8050000}"/>
    <cellStyle name="Normal 34" xfId="1476" xr:uid="{00000000-0005-0000-0000-0000C9050000}"/>
    <cellStyle name="Normal 35" xfId="1477" xr:uid="{00000000-0005-0000-0000-0000CA050000}"/>
    <cellStyle name="Normal 36" xfId="1478" xr:uid="{00000000-0005-0000-0000-0000CB050000}"/>
    <cellStyle name="Normal 37" xfId="1479" xr:uid="{00000000-0005-0000-0000-0000CC050000}"/>
    <cellStyle name="Normal 38" xfId="1480" xr:uid="{00000000-0005-0000-0000-0000CD050000}"/>
    <cellStyle name="Normal 39" xfId="1481" xr:uid="{00000000-0005-0000-0000-0000CE050000}"/>
    <cellStyle name="Normal 4" xfId="150" xr:uid="{00000000-0005-0000-0000-0000CF050000}"/>
    <cellStyle name="Normal 4 10" xfId="1482" xr:uid="{00000000-0005-0000-0000-0000D0050000}"/>
    <cellStyle name="Normal 4 11" xfId="1483" xr:uid="{00000000-0005-0000-0000-0000D1050000}"/>
    <cellStyle name="Normal 4 12" xfId="1484" xr:uid="{00000000-0005-0000-0000-0000D2050000}"/>
    <cellStyle name="Normal 4 15" xfId="1485" xr:uid="{00000000-0005-0000-0000-0000D3050000}"/>
    <cellStyle name="Normal 4 16" xfId="1486" xr:uid="{00000000-0005-0000-0000-0000D4050000}"/>
    <cellStyle name="Normal 4 17" xfId="1487" xr:uid="{00000000-0005-0000-0000-0000D5050000}"/>
    <cellStyle name="Normal 4 19" xfId="1488" xr:uid="{00000000-0005-0000-0000-0000D6050000}"/>
    <cellStyle name="Normal 4 2" xfId="1489" xr:uid="{00000000-0005-0000-0000-0000D7050000}"/>
    <cellStyle name="Normal 4 21" xfId="1490" xr:uid="{00000000-0005-0000-0000-0000D8050000}"/>
    <cellStyle name="Normal 4 25" xfId="1491" xr:uid="{00000000-0005-0000-0000-0000D9050000}"/>
    <cellStyle name="Normal 4 29" xfId="1492" xr:uid="{00000000-0005-0000-0000-0000DA050000}"/>
    <cellStyle name="Normal 4 3" xfId="1493" xr:uid="{00000000-0005-0000-0000-0000DB050000}"/>
    <cellStyle name="Normal 4 34" xfId="1494" xr:uid="{00000000-0005-0000-0000-0000DC050000}"/>
    <cellStyle name="Normal 4 4" xfId="1495" xr:uid="{00000000-0005-0000-0000-0000DD050000}"/>
    <cellStyle name="Normal 4 5" xfId="1496" xr:uid="{00000000-0005-0000-0000-0000DE050000}"/>
    <cellStyle name="Normal 4 6" xfId="1497" xr:uid="{00000000-0005-0000-0000-0000DF050000}"/>
    <cellStyle name="Normal 4 6 2" xfId="2260" xr:uid="{00000000-0005-0000-0000-0000E0050000}"/>
    <cellStyle name="Normal 4 6 3" xfId="2281" xr:uid="{00000000-0005-0000-0000-0000E1050000}"/>
    <cellStyle name="Normal 4 9" xfId="1498" xr:uid="{00000000-0005-0000-0000-0000E2050000}"/>
    <cellStyle name="Normal 40" xfId="1499" xr:uid="{00000000-0005-0000-0000-0000E3050000}"/>
    <cellStyle name="Normal 41" xfId="1500" xr:uid="{00000000-0005-0000-0000-0000E4050000}"/>
    <cellStyle name="Normal 42" xfId="1501" xr:uid="{00000000-0005-0000-0000-0000E5050000}"/>
    <cellStyle name="Normal 43" xfId="1502" xr:uid="{00000000-0005-0000-0000-0000E6050000}"/>
    <cellStyle name="Normal 44" xfId="1503" xr:uid="{00000000-0005-0000-0000-0000E7050000}"/>
    <cellStyle name="Normal 45" xfId="1504" xr:uid="{00000000-0005-0000-0000-0000E8050000}"/>
    <cellStyle name="Normal 46" xfId="1505" xr:uid="{00000000-0005-0000-0000-0000E9050000}"/>
    <cellStyle name="Normal 47" xfId="1506" xr:uid="{00000000-0005-0000-0000-0000EA050000}"/>
    <cellStyle name="Normal 48" xfId="1507" xr:uid="{00000000-0005-0000-0000-0000EB050000}"/>
    <cellStyle name="Normal 49" xfId="1508" xr:uid="{00000000-0005-0000-0000-0000EC050000}"/>
    <cellStyle name="Normal 5" xfId="151" xr:uid="{00000000-0005-0000-0000-0000ED050000}"/>
    <cellStyle name="Normal 5 10" xfId="152" xr:uid="{00000000-0005-0000-0000-0000EE050000}"/>
    <cellStyle name="Normal 5 10 2" xfId="1509" xr:uid="{00000000-0005-0000-0000-0000EF050000}"/>
    <cellStyle name="Normal 5 10 2 2" xfId="1510" xr:uid="{00000000-0005-0000-0000-0000F0050000}"/>
    <cellStyle name="Normal 5 10 2 3" xfId="1511" xr:uid="{00000000-0005-0000-0000-0000F1050000}"/>
    <cellStyle name="Normal 5 10 3" xfId="1512" xr:uid="{00000000-0005-0000-0000-0000F2050000}"/>
    <cellStyle name="Normal 5 10 3 2" xfId="1513" xr:uid="{00000000-0005-0000-0000-0000F3050000}"/>
    <cellStyle name="Normal 5 10 3 3" xfId="1514" xr:uid="{00000000-0005-0000-0000-0000F4050000}"/>
    <cellStyle name="Normal 5 10 4" xfId="1515" xr:uid="{00000000-0005-0000-0000-0000F5050000}"/>
    <cellStyle name="Normal 5 10 5" xfId="1516" xr:uid="{00000000-0005-0000-0000-0000F6050000}"/>
    <cellStyle name="Normal 5 10 6" xfId="1517" xr:uid="{00000000-0005-0000-0000-0000F7050000}"/>
    <cellStyle name="Normal 5 10 7" xfId="1518" xr:uid="{00000000-0005-0000-0000-0000F8050000}"/>
    <cellStyle name="Normal 5 10_Consolidado" xfId="1519" xr:uid="{00000000-0005-0000-0000-0000F9050000}"/>
    <cellStyle name="Normal 5 11" xfId="153" xr:uid="{00000000-0005-0000-0000-0000FA050000}"/>
    <cellStyle name="Normal 5 11 2" xfId="1520" xr:uid="{00000000-0005-0000-0000-0000FB050000}"/>
    <cellStyle name="Normal 5 11 2 2" xfId="1521" xr:uid="{00000000-0005-0000-0000-0000FC050000}"/>
    <cellStyle name="Normal 5 11 2 3" xfId="1522" xr:uid="{00000000-0005-0000-0000-0000FD050000}"/>
    <cellStyle name="Normal 5 11 3" xfId="1523" xr:uid="{00000000-0005-0000-0000-0000FE050000}"/>
    <cellStyle name="Normal 5 11 3 2" xfId="1524" xr:uid="{00000000-0005-0000-0000-0000FF050000}"/>
    <cellStyle name="Normal 5 11 3 3" xfId="1525" xr:uid="{00000000-0005-0000-0000-000000060000}"/>
    <cellStyle name="Normal 5 11 4" xfId="1526" xr:uid="{00000000-0005-0000-0000-000001060000}"/>
    <cellStyle name="Normal 5 11 5" xfId="1527" xr:uid="{00000000-0005-0000-0000-000002060000}"/>
    <cellStyle name="Normal 5 11 6" xfId="1528" xr:uid="{00000000-0005-0000-0000-000003060000}"/>
    <cellStyle name="Normal 5 11 7" xfId="1529" xr:uid="{00000000-0005-0000-0000-000004060000}"/>
    <cellStyle name="Normal 5 11_Consolidado" xfId="1530" xr:uid="{00000000-0005-0000-0000-000005060000}"/>
    <cellStyle name="Normal 5 12" xfId="154" xr:uid="{00000000-0005-0000-0000-000006060000}"/>
    <cellStyle name="Normal 5 12 2" xfId="1531" xr:uid="{00000000-0005-0000-0000-000007060000}"/>
    <cellStyle name="Normal 5 12 2 2" xfId="1532" xr:uid="{00000000-0005-0000-0000-000008060000}"/>
    <cellStyle name="Normal 5 12 2 3" xfId="1533" xr:uid="{00000000-0005-0000-0000-000009060000}"/>
    <cellStyle name="Normal 5 12 3" xfId="1534" xr:uid="{00000000-0005-0000-0000-00000A060000}"/>
    <cellStyle name="Normal 5 12 3 2" xfId="1535" xr:uid="{00000000-0005-0000-0000-00000B060000}"/>
    <cellStyle name="Normal 5 12 3 3" xfId="1536" xr:uid="{00000000-0005-0000-0000-00000C060000}"/>
    <cellStyle name="Normal 5 12 4" xfId="1537" xr:uid="{00000000-0005-0000-0000-00000D060000}"/>
    <cellStyle name="Normal 5 12 5" xfId="1538" xr:uid="{00000000-0005-0000-0000-00000E060000}"/>
    <cellStyle name="Normal 5 12 6" xfId="1539" xr:uid="{00000000-0005-0000-0000-00000F060000}"/>
    <cellStyle name="Normal 5 12 7" xfId="1540" xr:uid="{00000000-0005-0000-0000-000010060000}"/>
    <cellStyle name="Normal 5 12_Consolidado" xfId="1541" xr:uid="{00000000-0005-0000-0000-000011060000}"/>
    <cellStyle name="Normal 5 13" xfId="155" xr:uid="{00000000-0005-0000-0000-000012060000}"/>
    <cellStyle name="Normal 5 13 2" xfId="1542" xr:uid="{00000000-0005-0000-0000-000013060000}"/>
    <cellStyle name="Normal 5 13 2 2" xfId="1543" xr:uid="{00000000-0005-0000-0000-000014060000}"/>
    <cellStyle name="Normal 5 13 2 3" xfId="1544" xr:uid="{00000000-0005-0000-0000-000015060000}"/>
    <cellStyle name="Normal 5 13 3" xfId="1545" xr:uid="{00000000-0005-0000-0000-000016060000}"/>
    <cellStyle name="Normal 5 13 3 2" xfId="1546" xr:uid="{00000000-0005-0000-0000-000017060000}"/>
    <cellStyle name="Normal 5 13 3 3" xfId="1547" xr:uid="{00000000-0005-0000-0000-000018060000}"/>
    <cellStyle name="Normal 5 13 4" xfId="1548" xr:uid="{00000000-0005-0000-0000-000019060000}"/>
    <cellStyle name="Normal 5 13 5" xfId="1549" xr:uid="{00000000-0005-0000-0000-00001A060000}"/>
    <cellStyle name="Normal 5 13 6" xfId="1550" xr:uid="{00000000-0005-0000-0000-00001B060000}"/>
    <cellStyle name="Normal 5 13 7" xfId="1551" xr:uid="{00000000-0005-0000-0000-00001C060000}"/>
    <cellStyle name="Normal 5 13_Consolidado" xfId="1552" xr:uid="{00000000-0005-0000-0000-00001D060000}"/>
    <cellStyle name="Normal 5 14" xfId="156" xr:uid="{00000000-0005-0000-0000-00001E060000}"/>
    <cellStyle name="Normal 5 14 2" xfId="1553" xr:uid="{00000000-0005-0000-0000-00001F060000}"/>
    <cellStyle name="Normal 5 14 2 2" xfId="1554" xr:uid="{00000000-0005-0000-0000-000020060000}"/>
    <cellStyle name="Normal 5 14 2 3" xfId="1555" xr:uid="{00000000-0005-0000-0000-000021060000}"/>
    <cellStyle name="Normal 5 14 3" xfId="1556" xr:uid="{00000000-0005-0000-0000-000022060000}"/>
    <cellStyle name="Normal 5 14 3 2" xfId="1557" xr:uid="{00000000-0005-0000-0000-000023060000}"/>
    <cellStyle name="Normal 5 14 3 3" xfId="1558" xr:uid="{00000000-0005-0000-0000-000024060000}"/>
    <cellStyle name="Normal 5 14 4" xfId="1559" xr:uid="{00000000-0005-0000-0000-000025060000}"/>
    <cellStyle name="Normal 5 14 5" xfId="1560" xr:uid="{00000000-0005-0000-0000-000026060000}"/>
    <cellStyle name="Normal 5 14 6" xfId="1561" xr:uid="{00000000-0005-0000-0000-000027060000}"/>
    <cellStyle name="Normal 5 14 7" xfId="1562" xr:uid="{00000000-0005-0000-0000-000028060000}"/>
    <cellStyle name="Normal 5 14_Consolidado" xfId="1563" xr:uid="{00000000-0005-0000-0000-000029060000}"/>
    <cellStyle name="Normal 5 15" xfId="157" xr:uid="{00000000-0005-0000-0000-00002A060000}"/>
    <cellStyle name="Normal 5 15 2" xfId="1564" xr:uid="{00000000-0005-0000-0000-00002B060000}"/>
    <cellStyle name="Normal 5 15 3" xfId="1565" xr:uid="{00000000-0005-0000-0000-00002C060000}"/>
    <cellStyle name="Normal 5 16" xfId="1566" xr:uid="{00000000-0005-0000-0000-00002D060000}"/>
    <cellStyle name="Normal 5 16 2" xfId="1567" xr:uid="{00000000-0005-0000-0000-00002E060000}"/>
    <cellStyle name="Normal 5 16 3" xfId="1568" xr:uid="{00000000-0005-0000-0000-00002F060000}"/>
    <cellStyle name="Normal 5 17" xfId="1569" xr:uid="{00000000-0005-0000-0000-000030060000}"/>
    <cellStyle name="Normal 5 17 2" xfId="1570" xr:uid="{00000000-0005-0000-0000-000031060000}"/>
    <cellStyle name="Normal 5 17 3" xfId="1571" xr:uid="{00000000-0005-0000-0000-000032060000}"/>
    <cellStyle name="Normal 5 18" xfId="1572" xr:uid="{00000000-0005-0000-0000-000033060000}"/>
    <cellStyle name="Normal 5 19" xfId="1573" xr:uid="{00000000-0005-0000-0000-000034060000}"/>
    <cellStyle name="Normal 5 2" xfId="158" xr:uid="{00000000-0005-0000-0000-000035060000}"/>
    <cellStyle name="Normal 5 2 2" xfId="1574" xr:uid="{00000000-0005-0000-0000-000036060000}"/>
    <cellStyle name="Normal 5 2 2 2" xfId="1575" xr:uid="{00000000-0005-0000-0000-000037060000}"/>
    <cellStyle name="Normal 5 2 2 3" xfId="1576" xr:uid="{00000000-0005-0000-0000-000038060000}"/>
    <cellStyle name="Normal 5 2 3" xfId="1577" xr:uid="{00000000-0005-0000-0000-000039060000}"/>
    <cellStyle name="Normal 5 2 3 2" xfId="1578" xr:uid="{00000000-0005-0000-0000-00003A060000}"/>
    <cellStyle name="Normal 5 2 3 3" xfId="1579" xr:uid="{00000000-0005-0000-0000-00003B060000}"/>
    <cellStyle name="Normal 5 2 4" xfId="1580" xr:uid="{00000000-0005-0000-0000-00003C060000}"/>
    <cellStyle name="Normal 5 2 5" xfId="1581" xr:uid="{00000000-0005-0000-0000-00003D060000}"/>
    <cellStyle name="Normal 5 2 6" xfId="1582" xr:uid="{00000000-0005-0000-0000-00003E060000}"/>
    <cellStyle name="Normal 5 2 7" xfId="1583" xr:uid="{00000000-0005-0000-0000-00003F060000}"/>
    <cellStyle name="Normal 5 2_Consolidado" xfId="1584" xr:uid="{00000000-0005-0000-0000-000040060000}"/>
    <cellStyle name="Normal 5 20" xfId="1585" xr:uid="{00000000-0005-0000-0000-000041060000}"/>
    <cellStyle name="Normal 5 21" xfId="1586" xr:uid="{00000000-0005-0000-0000-000042060000}"/>
    <cellStyle name="Normal 5 3" xfId="159" xr:uid="{00000000-0005-0000-0000-000043060000}"/>
    <cellStyle name="Normal 5 3 2" xfId="1587" xr:uid="{00000000-0005-0000-0000-000044060000}"/>
    <cellStyle name="Normal 5 3 2 2" xfId="1588" xr:uid="{00000000-0005-0000-0000-000045060000}"/>
    <cellStyle name="Normal 5 3 2 3" xfId="1589" xr:uid="{00000000-0005-0000-0000-000046060000}"/>
    <cellStyle name="Normal 5 3 3" xfId="1590" xr:uid="{00000000-0005-0000-0000-000047060000}"/>
    <cellStyle name="Normal 5 3 3 2" xfId="1591" xr:uid="{00000000-0005-0000-0000-000048060000}"/>
    <cellStyle name="Normal 5 3 3 3" xfId="1592" xr:uid="{00000000-0005-0000-0000-000049060000}"/>
    <cellStyle name="Normal 5 3 4" xfId="1593" xr:uid="{00000000-0005-0000-0000-00004A060000}"/>
    <cellStyle name="Normal 5 3 5" xfId="1594" xr:uid="{00000000-0005-0000-0000-00004B060000}"/>
    <cellStyle name="Normal 5 3 6" xfId="1595" xr:uid="{00000000-0005-0000-0000-00004C060000}"/>
    <cellStyle name="Normal 5 3 7" xfId="1596" xr:uid="{00000000-0005-0000-0000-00004D060000}"/>
    <cellStyle name="Normal 5 3_Consolidado" xfId="1597" xr:uid="{00000000-0005-0000-0000-00004E060000}"/>
    <cellStyle name="Normal 5 4" xfId="160" xr:uid="{00000000-0005-0000-0000-00004F060000}"/>
    <cellStyle name="Normal 5 4 2" xfId="1598" xr:uid="{00000000-0005-0000-0000-000050060000}"/>
    <cellStyle name="Normal 5 4 2 2" xfId="1599" xr:uid="{00000000-0005-0000-0000-000051060000}"/>
    <cellStyle name="Normal 5 4 2 3" xfId="1600" xr:uid="{00000000-0005-0000-0000-000052060000}"/>
    <cellStyle name="Normal 5 4 3" xfId="1601" xr:uid="{00000000-0005-0000-0000-000053060000}"/>
    <cellStyle name="Normal 5 4 3 2" xfId="1602" xr:uid="{00000000-0005-0000-0000-000054060000}"/>
    <cellStyle name="Normal 5 4 3 3" xfId="1603" xr:uid="{00000000-0005-0000-0000-000055060000}"/>
    <cellStyle name="Normal 5 4 4" xfId="1604" xr:uid="{00000000-0005-0000-0000-000056060000}"/>
    <cellStyle name="Normal 5 4 5" xfId="1605" xr:uid="{00000000-0005-0000-0000-000057060000}"/>
    <cellStyle name="Normal 5 4 6" xfId="1606" xr:uid="{00000000-0005-0000-0000-000058060000}"/>
    <cellStyle name="Normal 5 4 7" xfId="1607" xr:uid="{00000000-0005-0000-0000-000059060000}"/>
    <cellStyle name="Normal 5 4_Consolidado" xfId="1608" xr:uid="{00000000-0005-0000-0000-00005A060000}"/>
    <cellStyle name="Normal 5 5" xfId="161" xr:uid="{00000000-0005-0000-0000-00005B060000}"/>
    <cellStyle name="Normal 5 5 2" xfId="1609" xr:uid="{00000000-0005-0000-0000-00005C060000}"/>
    <cellStyle name="Normal 5 5 2 2" xfId="1610" xr:uid="{00000000-0005-0000-0000-00005D060000}"/>
    <cellStyle name="Normal 5 5 2 3" xfId="1611" xr:uid="{00000000-0005-0000-0000-00005E060000}"/>
    <cellStyle name="Normal 5 5 3" xfId="1612" xr:uid="{00000000-0005-0000-0000-00005F060000}"/>
    <cellStyle name="Normal 5 5 3 2" xfId="1613" xr:uid="{00000000-0005-0000-0000-000060060000}"/>
    <cellStyle name="Normal 5 5 3 3" xfId="1614" xr:uid="{00000000-0005-0000-0000-000061060000}"/>
    <cellStyle name="Normal 5 5 4" xfId="1615" xr:uid="{00000000-0005-0000-0000-000062060000}"/>
    <cellStyle name="Normal 5 5 5" xfId="1616" xr:uid="{00000000-0005-0000-0000-000063060000}"/>
    <cellStyle name="Normal 5 5 6" xfId="1617" xr:uid="{00000000-0005-0000-0000-000064060000}"/>
    <cellStyle name="Normal 5 5 7" xfId="1618" xr:uid="{00000000-0005-0000-0000-000065060000}"/>
    <cellStyle name="Normal 5 5_Consolidado" xfId="1619" xr:uid="{00000000-0005-0000-0000-000066060000}"/>
    <cellStyle name="Normal 5 6" xfId="162" xr:uid="{00000000-0005-0000-0000-000067060000}"/>
    <cellStyle name="Normal 5 6 2" xfId="1620" xr:uid="{00000000-0005-0000-0000-000068060000}"/>
    <cellStyle name="Normal 5 6 2 2" xfId="1621" xr:uid="{00000000-0005-0000-0000-000069060000}"/>
    <cellStyle name="Normal 5 6 2 3" xfId="1622" xr:uid="{00000000-0005-0000-0000-00006A060000}"/>
    <cellStyle name="Normal 5 6 3" xfId="1623" xr:uid="{00000000-0005-0000-0000-00006B060000}"/>
    <cellStyle name="Normal 5 6 3 2" xfId="1624" xr:uid="{00000000-0005-0000-0000-00006C060000}"/>
    <cellStyle name="Normal 5 6 3 3" xfId="1625" xr:uid="{00000000-0005-0000-0000-00006D060000}"/>
    <cellStyle name="Normal 5 6 4" xfId="1626" xr:uid="{00000000-0005-0000-0000-00006E060000}"/>
    <cellStyle name="Normal 5 6 5" xfId="1627" xr:uid="{00000000-0005-0000-0000-00006F060000}"/>
    <cellStyle name="Normal 5 6 6" xfId="1628" xr:uid="{00000000-0005-0000-0000-000070060000}"/>
    <cellStyle name="Normal 5 6 7" xfId="1629" xr:uid="{00000000-0005-0000-0000-000071060000}"/>
    <cellStyle name="Normal 5 6_Consolidado" xfId="1630" xr:uid="{00000000-0005-0000-0000-000072060000}"/>
    <cellStyle name="Normal 5 7" xfId="163" xr:uid="{00000000-0005-0000-0000-000073060000}"/>
    <cellStyle name="Normal 5 7 2" xfId="1631" xr:uid="{00000000-0005-0000-0000-000074060000}"/>
    <cellStyle name="Normal 5 7 2 2" xfId="1632" xr:uid="{00000000-0005-0000-0000-000075060000}"/>
    <cellStyle name="Normal 5 7 2 3" xfId="1633" xr:uid="{00000000-0005-0000-0000-000076060000}"/>
    <cellStyle name="Normal 5 7 3" xfId="1634" xr:uid="{00000000-0005-0000-0000-000077060000}"/>
    <cellStyle name="Normal 5 7 3 2" xfId="1635" xr:uid="{00000000-0005-0000-0000-000078060000}"/>
    <cellStyle name="Normal 5 7 3 3" xfId="1636" xr:uid="{00000000-0005-0000-0000-000079060000}"/>
    <cellStyle name="Normal 5 7 4" xfId="1637" xr:uid="{00000000-0005-0000-0000-00007A060000}"/>
    <cellStyle name="Normal 5 7 5" xfId="1638" xr:uid="{00000000-0005-0000-0000-00007B060000}"/>
    <cellStyle name="Normal 5 7 6" xfId="1639" xr:uid="{00000000-0005-0000-0000-00007C060000}"/>
    <cellStyle name="Normal 5 7 7" xfId="1640" xr:uid="{00000000-0005-0000-0000-00007D060000}"/>
    <cellStyle name="Normal 5 7_Consolidado" xfId="1641" xr:uid="{00000000-0005-0000-0000-00007E060000}"/>
    <cellStyle name="Normal 5 8" xfId="164" xr:uid="{00000000-0005-0000-0000-00007F060000}"/>
    <cellStyle name="Normal 5 8 2" xfId="1642" xr:uid="{00000000-0005-0000-0000-000080060000}"/>
    <cellStyle name="Normal 5 8 2 2" xfId="1643" xr:uid="{00000000-0005-0000-0000-000081060000}"/>
    <cellStyle name="Normal 5 8 2 3" xfId="1644" xr:uid="{00000000-0005-0000-0000-000082060000}"/>
    <cellStyle name="Normal 5 8 3" xfId="1645" xr:uid="{00000000-0005-0000-0000-000083060000}"/>
    <cellStyle name="Normal 5 8 3 2" xfId="1646" xr:uid="{00000000-0005-0000-0000-000084060000}"/>
    <cellStyle name="Normal 5 8 3 3" xfId="1647" xr:uid="{00000000-0005-0000-0000-000085060000}"/>
    <cellStyle name="Normal 5 8 4" xfId="1648" xr:uid="{00000000-0005-0000-0000-000086060000}"/>
    <cellStyle name="Normal 5 8 5" xfId="1649" xr:uid="{00000000-0005-0000-0000-000087060000}"/>
    <cellStyle name="Normal 5 8 6" xfId="1650" xr:uid="{00000000-0005-0000-0000-000088060000}"/>
    <cellStyle name="Normal 5 8 7" xfId="1651" xr:uid="{00000000-0005-0000-0000-000089060000}"/>
    <cellStyle name="Normal 5 8_Consolidado" xfId="1652" xr:uid="{00000000-0005-0000-0000-00008A060000}"/>
    <cellStyle name="Normal 5 9" xfId="165" xr:uid="{00000000-0005-0000-0000-00008B060000}"/>
    <cellStyle name="Normal 5 9 2" xfId="1653" xr:uid="{00000000-0005-0000-0000-00008C060000}"/>
    <cellStyle name="Normal 5 9 2 2" xfId="1654" xr:uid="{00000000-0005-0000-0000-00008D060000}"/>
    <cellStyle name="Normal 5 9 2 3" xfId="1655" xr:uid="{00000000-0005-0000-0000-00008E060000}"/>
    <cellStyle name="Normal 5 9 3" xfId="1656" xr:uid="{00000000-0005-0000-0000-00008F060000}"/>
    <cellStyle name="Normal 5 9 3 2" xfId="1657" xr:uid="{00000000-0005-0000-0000-000090060000}"/>
    <cellStyle name="Normal 5 9 3 3" xfId="1658" xr:uid="{00000000-0005-0000-0000-000091060000}"/>
    <cellStyle name="Normal 5 9 4" xfId="1659" xr:uid="{00000000-0005-0000-0000-000092060000}"/>
    <cellStyle name="Normal 5 9 5" xfId="1660" xr:uid="{00000000-0005-0000-0000-000093060000}"/>
    <cellStyle name="Normal 5 9 6" xfId="1661" xr:uid="{00000000-0005-0000-0000-000094060000}"/>
    <cellStyle name="Normal 5 9 7" xfId="1662" xr:uid="{00000000-0005-0000-0000-000095060000}"/>
    <cellStyle name="Normal 5 9_Consolidado" xfId="1663" xr:uid="{00000000-0005-0000-0000-000096060000}"/>
    <cellStyle name="Normal 5_Consolidado" xfId="1664" xr:uid="{00000000-0005-0000-0000-000097060000}"/>
    <cellStyle name="Normal 50" xfId="1665" xr:uid="{00000000-0005-0000-0000-000098060000}"/>
    <cellStyle name="Normal 51" xfId="1666" xr:uid="{00000000-0005-0000-0000-000099060000}"/>
    <cellStyle name="Normal 52" xfId="1667" xr:uid="{00000000-0005-0000-0000-00009A060000}"/>
    <cellStyle name="Normal 53" xfId="1668" xr:uid="{00000000-0005-0000-0000-00009B060000}"/>
    <cellStyle name="Normal 54" xfId="1669" xr:uid="{00000000-0005-0000-0000-00009C060000}"/>
    <cellStyle name="Normal 55" xfId="1670" xr:uid="{00000000-0005-0000-0000-00009D060000}"/>
    <cellStyle name="Normal 56" xfId="1671" xr:uid="{00000000-0005-0000-0000-00009E060000}"/>
    <cellStyle name="Normal 57" xfId="1672" xr:uid="{00000000-0005-0000-0000-00009F060000}"/>
    <cellStyle name="Normal 58" xfId="1673" xr:uid="{00000000-0005-0000-0000-0000A0060000}"/>
    <cellStyle name="Normal 59" xfId="1674" xr:uid="{00000000-0005-0000-0000-0000A1060000}"/>
    <cellStyle name="Normal 6" xfId="166" xr:uid="{00000000-0005-0000-0000-0000A2060000}"/>
    <cellStyle name="Normal 6 10" xfId="167" xr:uid="{00000000-0005-0000-0000-0000A3060000}"/>
    <cellStyle name="Normal 6 10 2" xfId="1675" xr:uid="{00000000-0005-0000-0000-0000A4060000}"/>
    <cellStyle name="Normal 6 10 2 2" xfId="1676" xr:uid="{00000000-0005-0000-0000-0000A5060000}"/>
    <cellStyle name="Normal 6 10 2 3" xfId="1677" xr:uid="{00000000-0005-0000-0000-0000A6060000}"/>
    <cellStyle name="Normal 6 10 3" xfId="1678" xr:uid="{00000000-0005-0000-0000-0000A7060000}"/>
    <cellStyle name="Normal 6 10 3 2" xfId="1679" xr:uid="{00000000-0005-0000-0000-0000A8060000}"/>
    <cellStyle name="Normal 6 10 3 3" xfId="1680" xr:uid="{00000000-0005-0000-0000-0000A9060000}"/>
    <cellStyle name="Normal 6 10 4" xfId="1681" xr:uid="{00000000-0005-0000-0000-0000AA060000}"/>
    <cellStyle name="Normal 6 10 5" xfId="1682" xr:uid="{00000000-0005-0000-0000-0000AB060000}"/>
    <cellStyle name="Normal 6 10 6" xfId="1683" xr:uid="{00000000-0005-0000-0000-0000AC060000}"/>
    <cellStyle name="Normal 6 10 7" xfId="1684" xr:uid="{00000000-0005-0000-0000-0000AD060000}"/>
    <cellStyle name="Normal 6 10_Consolidado" xfId="1685" xr:uid="{00000000-0005-0000-0000-0000AE060000}"/>
    <cellStyle name="Normal 6 11" xfId="168" xr:uid="{00000000-0005-0000-0000-0000AF060000}"/>
    <cellStyle name="Normal 6 11 2" xfId="1686" xr:uid="{00000000-0005-0000-0000-0000B0060000}"/>
    <cellStyle name="Normal 6 11 2 2" xfId="1687" xr:uid="{00000000-0005-0000-0000-0000B1060000}"/>
    <cellStyle name="Normal 6 11 2 3" xfId="1688" xr:uid="{00000000-0005-0000-0000-0000B2060000}"/>
    <cellStyle name="Normal 6 11 3" xfId="1689" xr:uid="{00000000-0005-0000-0000-0000B3060000}"/>
    <cellStyle name="Normal 6 11 3 2" xfId="1690" xr:uid="{00000000-0005-0000-0000-0000B4060000}"/>
    <cellStyle name="Normal 6 11 3 3" xfId="1691" xr:uid="{00000000-0005-0000-0000-0000B5060000}"/>
    <cellStyle name="Normal 6 11 4" xfId="1692" xr:uid="{00000000-0005-0000-0000-0000B6060000}"/>
    <cellStyle name="Normal 6 11 5" xfId="1693" xr:uid="{00000000-0005-0000-0000-0000B7060000}"/>
    <cellStyle name="Normal 6 11 6" xfId="1694" xr:uid="{00000000-0005-0000-0000-0000B8060000}"/>
    <cellStyle name="Normal 6 11 7" xfId="1695" xr:uid="{00000000-0005-0000-0000-0000B9060000}"/>
    <cellStyle name="Normal 6 11_Consolidado" xfId="1696" xr:uid="{00000000-0005-0000-0000-0000BA060000}"/>
    <cellStyle name="Normal 6 12" xfId="169" xr:uid="{00000000-0005-0000-0000-0000BB060000}"/>
    <cellStyle name="Normal 6 12 2" xfId="1697" xr:uid="{00000000-0005-0000-0000-0000BC060000}"/>
    <cellStyle name="Normal 6 12 2 2" xfId="1698" xr:uid="{00000000-0005-0000-0000-0000BD060000}"/>
    <cellStyle name="Normal 6 12 2 3" xfId="1699" xr:uid="{00000000-0005-0000-0000-0000BE060000}"/>
    <cellStyle name="Normal 6 12 3" xfId="1700" xr:uid="{00000000-0005-0000-0000-0000BF060000}"/>
    <cellStyle name="Normal 6 12 3 2" xfId="1701" xr:uid="{00000000-0005-0000-0000-0000C0060000}"/>
    <cellStyle name="Normal 6 12 3 3" xfId="1702" xr:uid="{00000000-0005-0000-0000-0000C1060000}"/>
    <cellStyle name="Normal 6 12 4" xfId="1703" xr:uid="{00000000-0005-0000-0000-0000C2060000}"/>
    <cellStyle name="Normal 6 12 5" xfId="1704" xr:uid="{00000000-0005-0000-0000-0000C3060000}"/>
    <cellStyle name="Normal 6 12 6" xfId="1705" xr:uid="{00000000-0005-0000-0000-0000C4060000}"/>
    <cellStyle name="Normal 6 12 7" xfId="1706" xr:uid="{00000000-0005-0000-0000-0000C5060000}"/>
    <cellStyle name="Normal 6 12_Consolidado" xfId="1707" xr:uid="{00000000-0005-0000-0000-0000C6060000}"/>
    <cellStyle name="Normal 6 13" xfId="170" xr:uid="{00000000-0005-0000-0000-0000C7060000}"/>
    <cellStyle name="Normal 6 13 2" xfId="1708" xr:uid="{00000000-0005-0000-0000-0000C8060000}"/>
    <cellStyle name="Normal 6 13 2 2" xfId="1709" xr:uid="{00000000-0005-0000-0000-0000C9060000}"/>
    <cellStyle name="Normal 6 13 2 3" xfId="1710" xr:uid="{00000000-0005-0000-0000-0000CA060000}"/>
    <cellStyle name="Normal 6 13 3" xfId="1711" xr:uid="{00000000-0005-0000-0000-0000CB060000}"/>
    <cellStyle name="Normal 6 13 3 2" xfId="1712" xr:uid="{00000000-0005-0000-0000-0000CC060000}"/>
    <cellStyle name="Normal 6 13 3 3" xfId="1713" xr:uid="{00000000-0005-0000-0000-0000CD060000}"/>
    <cellStyle name="Normal 6 13 4" xfId="1714" xr:uid="{00000000-0005-0000-0000-0000CE060000}"/>
    <cellStyle name="Normal 6 13 5" xfId="1715" xr:uid="{00000000-0005-0000-0000-0000CF060000}"/>
    <cellStyle name="Normal 6 13 6" xfId="1716" xr:uid="{00000000-0005-0000-0000-0000D0060000}"/>
    <cellStyle name="Normal 6 13 7" xfId="1717" xr:uid="{00000000-0005-0000-0000-0000D1060000}"/>
    <cellStyle name="Normal 6 13_Consolidado" xfId="1718" xr:uid="{00000000-0005-0000-0000-0000D2060000}"/>
    <cellStyle name="Normal 6 14" xfId="171" xr:uid="{00000000-0005-0000-0000-0000D3060000}"/>
    <cellStyle name="Normal 6 14 2" xfId="1719" xr:uid="{00000000-0005-0000-0000-0000D4060000}"/>
    <cellStyle name="Normal 6 14 2 2" xfId="1720" xr:uid="{00000000-0005-0000-0000-0000D5060000}"/>
    <cellStyle name="Normal 6 14 2 3" xfId="1721" xr:uid="{00000000-0005-0000-0000-0000D6060000}"/>
    <cellStyle name="Normal 6 14 3" xfId="1722" xr:uid="{00000000-0005-0000-0000-0000D7060000}"/>
    <cellStyle name="Normal 6 14 3 2" xfId="1723" xr:uid="{00000000-0005-0000-0000-0000D8060000}"/>
    <cellStyle name="Normal 6 14 3 3" xfId="1724" xr:uid="{00000000-0005-0000-0000-0000D9060000}"/>
    <cellStyle name="Normal 6 14 4" xfId="1725" xr:uid="{00000000-0005-0000-0000-0000DA060000}"/>
    <cellStyle name="Normal 6 14 5" xfId="1726" xr:uid="{00000000-0005-0000-0000-0000DB060000}"/>
    <cellStyle name="Normal 6 14 6" xfId="1727" xr:uid="{00000000-0005-0000-0000-0000DC060000}"/>
    <cellStyle name="Normal 6 14 7" xfId="1728" xr:uid="{00000000-0005-0000-0000-0000DD060000}"/>
    <cellStyle name="Normal 6 14_Consolidado" xfId="1729" xr:uid="{00000000-0005-0000-0000-0000DE060000}"/>
    <cellStyle name="Normal 6 15" xfId="172" xr:uid="{00000000-0005-0000-0000-0000DF060000}"/>
    <cellStyle name="Normal 6 15 2" xfId="1730" xr:uid="{00000000-0005-0000-0000-0000E0060000}"/>
    <cellStyle name="Normal 6 15 3" xfId="1731" xr:uid="{00000000-0005-0000-0000-0000E1060000}"/>
    <cellStyle name="Normal 6 16" xfId="1732" xr:uid="{00000000-0005-0000-0000-0000E2060000}"/>
    <cellStyle name="Normal 6 16 2" xfId="1733" xr:uid="{00000000-0005-0000-0000-0000E3060000}"/>
    <cellStyle name="Normal 6 16 3" xfId="1734" xr:uid="{00000000-0005-0000-0000-0000E4060000}"/>
    <cellStyle name="Normal 6 17" xfId="1735" xr:uid="{00000000-0005-0000-0000-0000E5060000}"/>
    <cellStyle name="Normal 6 17 2" xfId="1736" xr:uid="{00000000-0005-0000-0000-0000E6060000}"/>
    <cellStyle name="Normal 6 17 3" xfId="1737" xr:uid="{00000000-0005-0000-0000-0000E7060000}"/>
    <cellStyle name="Normal 6 18" xfId="1738" xr:uid="{00000000-0005-0000-0000-0000E8060000}"/>
    <cellStyle name="Normal 6 19" xfId="1739" xr:uid="{00000000-0005-0000-0000-0000E9060000}"/>
    <cellStyle name="Normal 6 2" xfId="173" xr:uid="{00000000-0005-0000-0000-0000EA060000}"/>
    <cellStyle name="Normal 6 2 2" xfId="1740" xr:uid="{00000000-0005-0000-0000-0000EB060000}"/>
    <cellStyle name="Normal 6 2 2 2" xfId="1741" xr:uid="{00000000-0005-0000-0000-0000EC060000}"/>
    <cellStyle name="Normal 6 2 2 3" xfId="1742" xr:uid="{00000000-0005-0000-0000-0000ED060000}"/>
    <cellStyle name="Normal 6 2 3" xfId="1743" xr:uid="{00000000-0005-0000-0000-0000EE060000}"/>
    <cellStyle name="Normal 6 2 3 2" xfId="1744" xr:uid="{00000000-0005-0000-0000-0000EF060000}"/>
    <cellStyle name="Normal 6 2 3 3" xfId="1745" xr:uid="{00000000-0005-0000-0000-0000F0060000}"/>
    <cellStyle name="Normal 6 2 4" xfId="1746" xr:uid="{00000000-0005-0000-0000-0000F1060000}"/>
    <cellStyle name="Normal 6 2 5" xfId="1747" xr:uid="{00000000-0005-0000-0000-0000F2060000}"/>
    <cellStyle name="Normal 6 2 6" xfId="1748" xr:uid="{00000000-0005-0000-0000-0000F3060000}"/>
    <cellStyle name="Normal 6 2 7" xfId="1749" xr:uid="{00000000-0005-0000-0000-0000F4060000}"/>
    <cellStyle name="Normal 6 2_Consolidado" xfId="1750" xr:uid="{00000000-0005-0000-0000-0000F5060000}"/>
    <cellStyle name="Normal 6 20" xfId="1751" xr:uid="{00000000-0005-0000-0000-0000F6060000}"/>
    <cellStyle name="Normal 6 21" xfId="1752" xr:uid="{00000000-0005-0000-0000-0000F7060000}"/>
    <cellStyle name="Normal 6 3" xfId="174" xr:uid="{00000000-0005-0000-0000-0000F8060000}"/>
    <cellStyle name="Normal 6 3 2" xfId="1753" xr:uid="{00000000-0005-0000-0000-0000F9060000}"/>
    <cellStyle name="Normal 6 3 2 2" xfId="1754" xr:uid="{00000000-0005-0000-0000-0000FA060000}"/>
    <cellStyle name="Normal 6 3 2 3" xfId="1755" xr:uid="{00000000-0005-0000-0000-0000FB060000}"/>
    <cellStyle name="Normal 6 3 3" xfId="1756" xr:uid="{00000000-0005-0000-0000-0000FC060000}"/>
    <cellStyle name="Normal 6 3 3 2" xfId="1757" xr:uid="{00000000-0005-0000-0000-0000FD060000}"/>
    <cellStyle name="Normal 6 3 3 3" xfId="1758" xr:uid="{00000000-0005-0000-0000-0000FE060000}"/>
    <cellStyle name="Normal 6 3 4" xfId="1759" xr:uid="{00000000-0005-0000-0000-0000FF060000}"/>
    <cellStyle name="Normal 6 3 5" xfId="1760" xr:uid="{00000000-0005-0000-0000-000000070000}"/>
    <cellStyle name="Normal 6 3 6" xfId="1761" xr:uid="{00000000-0005-0000-0000-000001070000}"/>
    <cellStyle name="Normal 6 3 7" xfId="1762" xr:uid="{00000000-0005-0000-0000-000002070000}"/>
    <cellStyle name="Normal 6 3_Consolidado" xfId="1763" xr:uid="{00000000-0005-0000-0000-000003070000}"/>
    <cellStyle name="Normal 6 4" xfId="175" xr:uid="{00000000-0005-0000-0000-000004070000}"/>
    <cellStyle name="Normal 6 4 2" xfId="1764" xr:uid="{00000000-0005-0000-0000-000005070000}"/>
    <cellStyle name="Normal 6 4 2 2" xfId="1765" xr:uid="{00000000-0005-0000-0000-000006070000}"/>
    <cellStyle name="Normal 6 4 2 3" xfId="1766" xr:uid="{00000000-0005-0000-0000-000007070000}"/>
    <cellStyle name="Normal 6 4 3" xfId="1767" xr:uid="{00000000-0005-0000-0000-000008070000}"/>
    <cellStyle name="Normal 6 4 3 2" xfId="1768" xr:uid="{00000000-0005-0000-0000-000009070000}"/>
    <cellStyle name="Normal 6 4 3 3" xfId="1769" xr:uid="{00000000-0005-0000-0000-00000A070000}"/>
    <cellStyle name="Normal 6 4 4" xfId="1770" xr:uid="{00000000-0005-0000-0000-00000B070000}"/>
    <cellStyle name="Normal 6 4 5" xfId="1771" xr:uid="{00000000-0005-0000-0000-00000C070000}"/>
    <cellStyle name="Normal 6 4 6" xfId="1772" xr:uid="{00000000-0005-0000-0000-00000D070000}"/>
    <cellStyle name="Normal 6 4 7" xfId="1773" xr:uid="{00000000-0005-0000-0000-00000E070000}"/>
    <cellStyle name="Normal 6 4_Consolidado" xfId="1774" xr:uid="{00000000-0005-0000-0000-00000F070000}"/>
    <cellStyle name="Normal 6 5" xfId="176" xr:uid="{00000000-0005-0000-0000-000010070000}"/>
    <cellStyle name="Normal 6 5 2" xfId="1775" xr:uid="{00000000-0005-0000-0000-000011070000}"/>
    <cellStyle name="Normal 6 5 2 2" xfId="1776" xr:uid="{00000000-0005-0000-0000-000012070000}"/>
    <cellStyle name="Normal 6 5 2 3" xfId="1777" xr:uid="{00000000-0005-0000-0000-000013070000}"/>
    <cellStyle name="Normal 6 5 3" xfId="1778" xr:uid="{00000000-0005-0000-0000-000014070000}"/>
    <cellStyle name="Normal 6 5 3 2" xfId="1779" xr:uid="{00000000-0005-0000-0000-000015070000}"/>
    <cellStyle name="Normal 6 5 3 3" xfId="1780" xr:uid="{00000000-0005-0000-0000-000016070000}"/>
    <cellStyle name="Normal 6 5 4" xfId="1781" xr:uid="{00000000-0005-0000-0000-000017070000}"/>
    <cellStyle name="Normal 6 5 5" xfId="1782" xr:uid="{00000000-0005-0000-0000-000018070000}"/>
    <cellStyle name="Normal 6 5 6" xfId="1783" xr:uid="{00000000-0005-0000-0000-000019070000}"/>
    <cellStyle name="Normal 6 5 7" xfId="1784" xr:uid="{00000000-0005-0000-0000-00001A070000}"/>
    <cellStyle name="Normal 6 5_Consolidado" xfId="1785" xr:uid="{00000000-0005-0000-0000-00001B070000}"/>
    <cellStyle name="Normal 6 6" xfId="177" xr:uid="{00000000-0005-0000-0000-00001C070000}"/>
    <cellStyle name="Normal 6 6 2" xfId="1786" xr:uid="{00000000-0005-0000-0000-00001D070000}"/>
    <cellStyle name="Normal 6 6 2 2" xfId="1787" xr:uid="{00000000-0005-0000-0000-00001E070000}"/>
    <cellStyle name="Normal 6 6 2 3" xfId="1788" xr:uid="{00000000-0005-0000-0000-00001F070000}"/>
    <cellStyle name="Normal 6 6 3" xfId="1789" xr:uid="{00000000-0005-0000-0000-000020070000}"/>
    <cellStyle name="Normal 6 6 3 2" xfId="1790" xr:uid="{00000000-0005-0000-0000-000021070000}"/>
    <cellStyle name="Normal 6 6 3 3" xfId="1791" xr:uid="{00000000-0005-0000-0000-000022070000}"/>
    <cellStyle name="Normal 6 6 4" xfId="1792" xr:uid="{00000000-0005-0000-0000-000023070000}"/>
    <cellStyle name="Normal 6 6 5" xfId="1793" xr:uid="{00000000-0005-0000-0000-000024070000}"/>
    <cellStyle name="Normal 6 6 6" xfId="1794" xr:uid="{00000000-0005-0000-0000-000025070000}"/>
    <cellStyle name="Normal 6 6 7" xfId="1795" xr:uid="{00000000-0005-0000-0000-000026070000}"/>
    <cellStyle name="Normal 6 6_Consolidado" xfId="1796" xr:uid="{00000000-0005-0000-0000-000027070000}"/>
    <cellStyle name="Normal 6 7" xfId="178" xr:uid="{00000000-0005-0000-0000-000028070000}"/>
    <cellStyle name="Normal 6 7 2" xfId="1797" xr:uid="{00000000-0005-0000-0000-000029070000}"/>
    <cellStyle name="Normal 6 7 2 2" xfId="1798" xr:uid="{00000000-0005-0000-0000-00002A070000}"/>
    <cellStyle name="Normal 6 7 2 3" xfId="1799" xr:uid="{00000000-0005-0000-0000-00002B070000}"/>
    <cellStyle name="Normal 6 7 3" xfId="1800" xr:uid="{00000000-0005-0000-0000-00002C070000}"/>
    <cellStyle name="Normal 6 7 3 2" xfId="1801" xr:uid="{00000000-0005-0000-0000-00002D070000}"/>
    <cellStyle name="Normal 6 7 3 3" xfId="1802" xr:uid="{00000000-0005-0000-0000-00002E070000}"/>
    <cellStyle name="Normal 6 7 4" xfId="1803" xr:uid="{00000000-0005-0000-0000-00002F070000}"/>
    <cellStyle name="Normal 6 7 5" xfId="1804" xr:uid="{00000000-0005-0000-0000-000030070000}"/>
    <cellStyle name="Normal 6 7 6" xfId="1805" xr:uid="{00000000-0005-0000-0000-000031070000}"/>
    <cellStyle name="Normal 6 7 7" xfId="1806" xr:uid="{00000000-0005-0000-0000-000032070000}"/>
    <cellStyle name="Normal 6 7_Consolidado" xfId="1807" xr:uid="{00000000-0005-0000-0000-000033070000}"/>
    <cellStyle name="Normal 6 8" xfId="179" xr:uid="{00000000-0005-0000-0000-000034070000}"/>
    <cellStyle name="Normal 6 8 2" xfId="1808" xr:uid="{00000000-0005-0000-0000-000035070000}"/>
    <cellStyle name="Normal 6 8 2 2" xfId="1809" xr:uid="{00000000-0005-0000-0000-000036070000}"/>
    <cellStyle name="Normal 6 8 2 3" xfId="1810" xr:uid="{00000000-0005-0000-0000-000037070000}"/>
    <cellStyle name="Normal 6 8 3" xfId="1811" xr:uid="{00000000-0005-0000-0000-000038070000}"/>
    <cellStyle name="Normal 6 8 3 2" xfId="1812" xr:uid="{00000000-0005-0000-0000-000039070000}"/>
    <cellStyle name="Normal 6 8 3 3" xfId="1813" xr:uid="{00000000-0005-0000-0000-00003A070000}"/>
    <cellStyle name="Normal 6 8 4" xfId="1814" xr:uid="{00000000-0005-0000-0000-00003B070000}"/>
    <cellStyle name="Normal 6 8 5" xfId="1815" xr:uid="{00000000-0005-0000-0000-00003C070000}"/>
    <cellStyle name="Normal 6 8 6" xfId="1816" xr:uid="{00000000-0005-0000-0000-00003D070000}"/>
    <cellStyle name="Normal 6 8 7" xfId="1817" xr:uid="{00000000-0005-0000-0000-00003E070000}"/>
    <cellStyle name="Normal 6 8_Consolidado" xfId="1818" xr:uid="{00000000-0005-0000-0000-00003F070000}"/>
    <cellStyle name="Normal 6 9" xfId="180" xr:uid="{00000000-0005-0000-0000-000040070000}"/>
    <cellStyle name="Normal 6 9 2" xfId="1819" xr:uid="{00000000-0005-0000-0000-000041070000}"/>
    <cellStyle name="Normal 6 9 2 2" xfId="1820" xr:uid="{00000000-0005-0000-0000-000042070000}"/>
    <cellStyle name="Normal 6 9 2 3" xfId="1821" xr:uid="{00000000-0005-0000-0000-000043070000}"/>
    <cellStyle name="Normal 6 9 3" xfId="1822" xr:uid="{00000000-0005-0000-0000-000044070000}"/>
    <cellStyle name="Normal 6 9 3 2" xfId="1823" xr:uid="{00000000-0005-0000-0000-000045070000}"/>
    <cellStyle name="Normal 6 9 3 3" xfId="1824" xr:uid="{00000000-0005-0000-0000-000046070000}"/>
    <cellStyle name="Normal 6 9 4" xfId="1825" xr:uid="{00000000-0005-0000-0000-000047070000}"/>
    <cellStyle name="Normal 6 9 5" xfId="1826" xr:uid="{00000000-0005-0000-0000-000048070000}"/>
    <cellStyle name="Normal 6 9 6" xfId="1827" xr:uid="{00000000-0005-0000-0000-000049070000}"/>
    <cellStyle name="Normal 6 9 7" xfId="1828" xr:uid="{00000000-0005-0000-0000-00004A070000}"/>
    <cellStyle name="Normal 6 9_Consolidado" xfId="1829" xr:uid="{00000000-0005-0000-0000-00004B070000}"/>
    <cellStyle name="Normal 6_Consolidado" xfId="1830" xr:uid="{00000000-0005-0000-0000-00004C070000}"/>
    <cellStyle name="Normal 60" xfId="1831" xr:uid="{00000000-0005-0000-0000-00004D070000}"/>
    <cellStyle name="Normal 61" xfId="1832" xr:uid="{00000000-0005-0000-0000-00004E070000}"/>
    <cellStyle name="Normal 62" xfId="1833" xr:uid="{00000000-0005-0000-0000-00004F070000}"/>
    <cellStyle name="Normal 63" xfId="1834" xr:uid="{00000000-0005-0000-0000-000050070000}"/>
    <cellStyle name="Normal 64" xfId="1835" xr:uid="{00000000-0005-0000-0000-000051070000}"/>
    <cellStyle name="Normal 65" xfId="1836" xr:uid="{00000000-0005-0000-0000-000052070000}"/>
    <cellStyle name="Normal 66" xfId="1837" xr:uid="{00000000-0005-0000-0000-000053070000}"/>
    <cellStyle name="Normal 67" xfId="1838" xr:uid="{00000000-0005-0000-0000-000054070000}"/>
    <cellStyle name="Normal 68" xfId="1839" xr:uid="{00000000-0005-0000-0000-000055070000}"/>
    <cellStyle name="Normal 69" xfId="1840" xr:uid="{00000000-0005-0000-0000-000056070000}"/>
    <cellStyle name="Normal 7" xfId="181" xr:uid="{00000000-0005-0000-0000-000057070000}"/>
    <cellStyle name="Normal 7 10" xfId="182" xr:uid="{00000000-0005-0000-0000-000058070000}"/>
    <cellStyle name="Normal 7 10 2" xfId="1841" xr:uid="{00000000-0005-0000-0000-000059070000}"/>
    <cellStyle name="Normal 7 10 2 2" xfId="1842" xr:uid="{00000000-0005-0000-0000-00005A070000}"/>
    <cellStyle name="Normal 7 10 2 3" xfId="1843" xr:uid="{00000000-0005-0000-0000-00005B070000}"/>
    <cellStyle name="Normal 7 10 3" xfId="1844" xr:uid="{00000000-0005-0000-0000-00005C070000}"/>
    <cellStyle name="Normal 7 10 3 2" xfId="1845" xr:uid="{00000000-0005-0000-0000-00005D070000}"/>
    <cellStyle name="Normal 7 10 3 3" xfId="1846" xr:uid="{00000000-0005-0000-0000-00005E070000}"/>
    <cellStyle name="Normal 7 10 4" xfId="1847" xr:uid="{00000000-0005-0000-0000-00005F070000}"/>
    <cellStyle name="Normal 7 10 5" xfId="1848" xr:uid="{00000000-0005-0000-0000-000060070000}"/>
    <cellStyle name="Normal 7 10 6" xfId="1849" xr:uid="{00000000-0005-0000-0000-000061070000}"/>
    <cellStyle name="Normal 7 10 7" xfId="1850" xr:uid="{00000000-0005-0000-0000-000062070000}"/>
    <cellStyle name="Normal 7 10_Consolidado" xfId="1851" xr:uid="{00000000-0005-0000-0000-000063070000}"/>
    <cellStyle name="Normal 7 11" xfId="183" xr:uid="{00000000-0005-0000-0000-000064070000}"/>
    <cellStyle name="Normal 7 11 2" xfId="1852" xr:uid="{00000000-0005-0000-0000-000065070000}"/>
    <cellStyle name="Normal 7 11 2 2" xfId="1853" xr:uid="{00000000-0005-0000-0000-000066070000}"/>
    <cellStyle name="Normal 7 11 2 3" xfId="1854" xr:uid="{00000000-0005-0000-0000-000067070000}"/>
    <cellStyle name="Normal 7 11 3" xfId="1855" xr:uid="{00000000-0005-0000-0000-000068070000}"/>
    <cellStyle name="Normal 7 11 3 2" xfId="1856" xr:uid="{00000000-0005-0000-0000-000069070000}"/>
    <cellStyle name="Normal 7 11 3 3" xfId="1857" xr:uid="{00000000-0005-0000-0000-00006A070000}"/>
    <cellStyle name="Normal 7 11 4" xfId="1858" xr:uid="{00000000-0005-0000-0000-00006B070000}"/>
    <cellStyle name="Normal 7 11 5" xfId="1859" xr:uid="{00000000-0005-0000-0000-00006C070000}"/>
    <cellStyle name="Normal 7 11 6" xfId="1860" xr:uid="{00000000-0005-0000-0000-00006D070000}"/>
    <cellStyle name="Normal 7 11 7" xfId="1861" xr:uid="{00000000-0005-0000-0000-00006E070000}"/>
    <cellStyle name="Normal 7 11_Consolidado" xfId="1862" xr:uid="{00000000-0005-0000-0000-00006F070000}"/>
    <cellStyle name="Normal 7 12" xfId="184" xr:uid="{00000000-0005-0000-0000-000070070000}"/>
    <cellStyle name="Normal 7 12 2" xfId="1863" xr:uid="{00000000-0005-0000-0000-000071070000}"/>
    <cellStyle name="Normal 7 12 2 2" xfId="1864" xr:uid="{00000000-0005-0000-0000-000072070000}"/>
    <cellStyle name="Normal 7 12 2 3" xfId="1865" xr:uid="{00000000-0005-0000-0000-000073070000}"/>
    <cellStyle name="Normal 7 12 3" xfId="1866" xr:uid="{00000000-0005-0000-0000-000074070000}"/>
    <cellStyle name="Normal 7 12 3 2" xfId="1867" xr:uid="{00000000-0005-0000-0000-000075070000}"/>
    <cellStyle name="Normal 7 12 3 3" xfId="1868" xr:uid="{00000000-0005-0000-0000-000076070000}"/>
    <cellStyle name="Normal 7 12 4" xfId="1869" xr:uid="{00000000-0005-0000-0000-000077070000}"/>
    <cellStyle name="Normal 7 12 5" xfId="1870" xr:uid="{00000000-0005-0000-0000-000078070000}"/>
    <cellStyle name="Normal 7 12 6" xfId="1871" xr:uid="{00000000-0005-0000-0000-000079070000}"/>
    <cellStyle name="Normal 7 12 7" xfId="1872" xr:uid="{00000000-0005-0000-0000-00007A070000}"/>
    <cellStyle name="Normal 7 12_Consolidado" xfId="1873" xr:uid="{00000000-0005-0000-0000-00007B070000}"/>
    <cellStyle name="Normal 7 13" xfId="185" xr:uid="{00000000-0005-0000-0000-00007C070000}"/>
    <cellStyle name="Normal 7 13 2" xfId="1874" xr:uid="{00000000-0005-0000-0000-00007D070000}"/>
    <cellStyle name="Normal 7 13 2 2" xfId="1875" xr:uid="{00000000-0005-0000-0000-00007E070000}"/>
    <cellStyle name="Normal 7 13 2 3" xfId="1876" xr:uid="{00000000-0005-0000-0000-00007F070000}"/>
    <cellStyle name="Normal 7 13 3" xfId="1877" xr:uid="{00000000-0005-0000-0000-000080070000}"/>
    <cellStyle name="Normal 7 13 3 2" xfId="1878" xr:uid="{00000000-0005-0000-0000-000081070000}"/>
    <cellStyle name="Normal 7 13 3 3" xfId="1879" xr:uid="{00000000-0005-0000-0000-000082070000}"/>
    <cellStyle name="Normal 7 13 4" xfId="1880" xr:uid="{00000000-0005-0000-0000-000083070000}"/>
    <cellStyle name="Normal 7 13 5" xfId="1881" xr:uid="{00000000-0005-0000-0000-000084070000}"/>
    <cellStyle name="Normal 7 13 6" xfId="1882" xr:uid="{00000000-0005-0000-0000-000085070000}"/>
    <cellStyle name="Normal 7 13 7" xfId="1883" xr:uid="{00000000-0005-0000-0000-000086070000}"/>
    <cellStyle name="Normal 7 13_Consolidado" xfId="1884" xr:uid="{00000000-0005-0000-0000-000087070000}"/>
    <cellStyle name="Normal 7 14" xfId="186" xr:uid="{00000000-0005-0000-0000-000088070000}"/>
    <cellStyle name="Normal 7 14 2" xfId="1885" xr:uid="{00000000-0005-0000-0000-000089070000}"/>
    <cellStyle name="Normal 7 14 2 2" xfId="1886" xr:uid="{00000000-0005-0000-0000-00008A070000}"/>
    <cellStyle name="Normal 7 14 2 3" xfId="1887" xr:uid="{00000000-0005-0000-0000-00008B070000}"/>
    <cellStyle name="Normal 7 14 3" xfId="1888" xr:uid="{00000000-0005-0000-0000-00008C070000}"/>
    <cellStyle name="Normal 7 14 3 2" xfId="1889" xr:uid="{00000000-0005-0000-0000-00008D070000}"/>
    <cellStyle name="Normal 7 14 3 3" xfId="1890" xr:uid="{00000000-0005-0000-0000-00008E070000}"/>
    <cellStyle name="Normal 7 14 4" xfId="1891" xr:uid="{00000000-0005-0000-0000-00008F070000}"/>
    <cellStyle name="Normal 7 14 5" xfId="1892" xr:uid="{00000000-0005-0000-0000-000090070000}"/>
    <cellStyle name="Normal 7 14 6" xfId="1893" xr:uid="{00000000-0005-0000-0000-000091070000}"/>
    <cellStyle name="Normal 7 14 7" xfId="1894" xr:uid="{00000000-0005-0000-0000-000092070000}"/>
    <cellStyle name="Normal 7 14_Consolidado" xfId="1895" xr:uid="{00000000-0005-0000-0000-000093070000}"/>
    <cellStyle name="Normal 7 15" xfId="187" xr:uid="{00000000-0005-0000-0000-000094070000}"/>
    <cellStyle name="Normal 7 15 2" xfId="1896" xr:uid="{00000000-0005-0000-0000-000095070000}"/>
    <cellStyle name="Normal 7 15 3" xfId="1897" xr:uid="{00000000-0005-0000-0000-000096070000}"/>
    <cellStyle name="Normal 7 16" xfId="1898" xr:uid="{00000000-0005-0000-0000-000097070000}"/>
    <cellStyle name="Normal 7 16 2" xfId="1899" xr:uid="{00000000-0005-0000-0000-000098070000}"/>
    <cellStyle name="Normal 7 16 3" xfId="1900" xr:uid="{00000000-0005-0000-0000-000099070000}"/>
    <cellStyle name="Normal 7 17" xfId="1901" xr:uid="{00000000-0005-0000-0000-00009A070000}"/>
    <cellStyle name="Normal 7 17 2" xfId="1902" xr:uid="{00000000-0005-0000-0000-00009B070000}"/>
    <cellStyle name="Normal 7 17 3" xfId="1903" xr:uid="{00000000-0005-0000-0000-00009C070000}"/>
    <cellStyle name="Normal 7 18" xfId="1904" xr:uid="{00000000-0005-0000-0000-00009D070000}"/>
    <cellStyle name="Normal 7 19" xfId="1905" xr:uid="{00000000-0005-0000-0000-00009E070000}"/>
    <cellStyle name="Normal 7 2" xfId="188" xr:uid="{00000000-0005-0000-0000-00009F070000}"/>
    <cellStyle name="Normal 7 2 2" xfId="1906" xr:uid="{00000000-0005-0000-0000-0000A0070000}"/>
    <cellStyle name="Normal 7 2 2 2" xfId="1907" xr:uid="{00000000-0005-0000-0000-0000A1070000}"/>
    <cellStyle name="Normal 7 2 2 3" xfId="1908" xr:uid="{00000000-0005-0000-0000-0000A2070000}"/>
    <cellStyle name="Normal 7 2 3" xfId="1909" xr:uid="{00000000-0005-0000-0000-0000A3070000}"/>
    <cellStyle name="Normal 7 2 3 2" xfId="1910" xr:uid="{00000000-0005-0000-0000-0000A4070000}"/>
    <cellStyle name="Normal 7 2 3 3" xfId="1911" xr:uid="{00000000-0005-0000-0000-0000A5070000}"/>
    <cellStyle name="Normal 7 2 4" xfId="1912" xr:uid="{00000000-0005-0000-0000-0000A6070000}"/>
    <cellStyle name="Normal 7 2 5" xfId="1913" xr:uid="{00000000-0005-0000-0000-0000A7070000}"/>
    <cellStyle name="Normal 7 2 6" xfId="1914" xr:uid="{00000000-0005-0000-0000-0000A8070000}"/>
    <cellStyle name="Normal 7 2 7" xfId="1915" xr:uid="{00000000-0005-0000-0000-0000A9070000}"/>
    <cellStyle name="Normal 7 2_Consolidado" xfId="1916" xr:uid="{00000000-0005-0000-0000-0000AA070000}"/>
    <cellStyle name="Normal 7 20" xfId="1917" xr:uid="{00000000-0005-0000-0000-0000AB070000}"/>
    <cellStyle name="Normal 7 21" xfId="1918" xr:uid="{00000000-0005-0000-0000-0000AC070000}"/>
    <cellStyle name="Normal 7 3" xfId="189" xr:uid="{00000000-0005-0000-0000-0000AD070000}"/>
    <cellStyle name="Normal 7 3 2" xfId="1919" xr:uid="{00000000-0005-0000-0000-0000AE070000}"/>
    <cellStyle name="Normal 7 3 2 2" xfId="1920" xr:uid="{00000000-0005-0000-0000-0000AF070000}"/>
    <cellStyle name="Normal 7 3 2 3" xfId="1921" xr:uid="{00000000-0005-0000-0000-0000B0070000}"/>
    <cellStyle name="Normal 7 3 3" xfId="1922" xr:uid="{00000000-0005-0000-0000-0000B1070000}"/>
    <cellStyle name="Normal 7 3 3 2" xfId="1923" xr:uid="{00000000-0005-0000-0000-0000B2070000}"/>
    <cellStyle name="Normal 7 3 3 3" xfId="1924" xr:uid="{00000000-0005-0000-0000-0000B3070000}"/>
    <cellStyle name="Normal 7 3 4" xfId="1925" xr:uid="{00000000-0005-0000-0000-0000B4070000}"/>
    <cellStyle name="Normal 7 3 5" xfId="1926" xr:uid="{00000000-0005-0000-0000-0000B5070000}"/>
    <cellStyle name="Normal 7 3 6" xfId="1927" xr:uid="{00000000-0005-0000-0000-0000B6070000}"/>
    <cellStyle name="Normal 7 3 7" xfId="1928" xr:uid="{00000000-0005-0000-0000-0000B7070000}"/>
    <cellStyle name="Normal 7 3_Consolidado" xfId="1929" xr:uid="{00000000-0005-0000-0000-0000B8070000}"/>
    <cellStyle name="Normal 7 4" xfId="190" xr:uid="{00000000-0005-0000-0000-0000B9070000}"/>
    <cellStyle name="Normal 7 4 2" xfId="1930" xr:uid="{00000000-0005-0000-0000-0000BA070000}"/>
    <cellStyle name="Normal 7 4 2 2" xfId="1931" xr:uid="{00000000-0005-0000-0000-0000BB070000}"/>
    <cellStyle name="Normal 7 4 2 3" xfId="1932" xr:uid="{00000000-0005-0000-0000-0000BC070000}"/>
    <cellStyle name="Normal 7 4 3" xfId="1933" xr:uid="{00000000-0005-0000-0000-0000BD070000}"/>
    <cellStyle name="Normal 7 4 3 2" xfId="1934" xr:uid="{00000000-0005-0000-0000-0000BE070000}"/>
    <cellStyle name="Normal 7 4 3 3" xfId="1935" xr:uid="{00000000-0005-0000-0000-0000BF070000}"/>
    <cellStyle name="Normal 7 4 4" xfId="1936" xr:uid="{00000000-0005-0000-0000-0000C0070000}"/>
    <cellStyle name="Normal 7 4 5" xfId="1937" xr:uid="{00000000-0005-0000-0000-0000C1070000}"/>
    <cellStyle name="Normal 7 4 6" xfId="1938" xr:uid="{00000000-0005-0000-0000-0000C2070000}"/>
    <cellStyle name="Normal 7 4 7" xfId="1939" xr:uid="{00000000-0005-0000-0000-0000C3070000}"/>
    <cellStyle name="Normal 7 4_Consolidado" xfId="1940" xr:uid="{00000000-0005-0000-0000-0000C4070000}"/>
    <cellStyle name="Normal 7 5" xfId="191" xr:uid="{00000000-0005-0000-0000-0000C5070000}"/>
    <cellStyle name="Normal 7 5 2" xfId="1941" xr:uid="{00000000-0005-0000-0000-0000C6070000}"/>
    <cellStyle name="Normal 7 5 2 2" xfId="1942" xr:uid="{00000000-0005-0000-0000-0000C7070000}"/>
    <cellStyle name="Normal 7 5 2 3" xfId="1943" xr:uid="{00000000-0005-0000-0000-0000C8070000}"/>
    <cellStyle name="Normal 7 5 3" xfId="1944" xr:uid="{00000000-0005-0000-0000-0000C9070000}"/>
    <cellStyle name="Normal 7 5 3 2" xfId="1945" xr:uid="{00000000-0005-0000-0000-0000CA070000}"/>
    <cellStyle name="Normal 7 5 3 3" xfId="1946" xr:uid="{00000000-0005-0000-0000-0000CB070000}"/>
    <cellStyle name="Normal 7 5 4" xfId="1947" xr:uid="{00000000-0005-0000-0000-0000CC070000}"/>
    <cellStyle name="Normal 7 5 5" xfId="1948" xr:uid="{00000000-0005-0000-0000-0000CD070000}"/>
    <cellStyle name="Normal 7 5 6" xfId="1949" xr:uid="{00000000-0005-0000-0000-0000CE070000}"/>
    <cellStyle name="Normal 7 5 7" xfId="1950" xr:uid="{00000000-0005-0000-0000-0000CF070000}"/>
    <cellStyle name="Normal 7 5_Consolidado" xfId="1951" xr:uid="{00000000-0005-0000-0000-0000D0070000}"/>
    <cellStyle name="Normal 7 6" xfId="192" xr:uid="{00000000-0005-0000-0000-0000D1070000}"/>
    <cellStyle name="Normal 7 6 2" xfId="1952" xr:uid="{00000000-0005-0000-0000-0000D2070000}"/>
    <cellStyle name="Normal 7 6 2 2" xfId="1953" xr:uid="{00000000-0005-0000-0000-0000D3070000}"/>
    <cellStyle name="Normal 7 6 2 3" xfId="1954" xr:uid="{00000000-0005-0000-0000-0000D4070000}"/>
    <cellStyle name="Normal 7 6 3" xfId="1955" xr:uid="{00000000-0005-0000-0000-0000D5070000}"/>
    <cellStyle name="Normal 7 6 3 2" xfId="1956" xr:uid="{00000000-0005-0000-0000-0000D6070000}"/>
    <cellStyle name="Normal 7 6 3 3" xfId="1957" xr:uid="{00000000-0005-0000-0000-0000D7070000}"/>
    <cellStyle name="Normal 7 6 4" xfId="1958" xr:uid="{00000000-0005-0000-0000-0000D8070000}"/>
    <cellStyle name="Normal 7 6 5" xfId="1959" xr:uid="{00000000-0005-0000-0000-0000D9070000}"/>
    <cellStyle name="Normal 7 6 6" xfId="1960" xr:uid="{00000000-0005-0000-0000-0000DA070000}"/>
    <cellStyle name="Normal 7 6 7" xfId="1961" xr:uid="{00000000-0005-0000-0000-0000DB070000}"/>
    <cellStyle name="Normal 7 6_Consolidado" xfId="1962" xr:uid="{00000000-0005-0000-0000-0000DC070000}"/>
    <cellStyle name="Normal 7 7" xfId="193" xr:uid="{00000000-0005-0000-0000-0000DD070000}"/>
    <cellStyle name="Normal 7 7 2" xfId="1963" xr:uid="{00000000-0005-0000-0000-0000DE070000}"/>
    <cellStyle name="Normal 7 7 2 2" xfId="1964" xr:uid="{00000000-0005-0000-0000-0000DF070000}"/>
    <cellStyle name="Normal 7 7 2 3" xfId="1965" xr:uid="{00000000-0005-0000-0000-0000E0070000}"/>
    <cellStyle name="Normal 7 7 3" xfId="1966" xr:uid="{00000000-0005-0000-0000-0000E1070000}"/>
    <cellStyle name="Normal 7 7 3 2" xfId="1967" xr:uid="{00000000-0005-0000-0000-0000E2070000}"/>
    <cellStyle name="Normal 7 7 3 3" xfId="1968" xr:uid="{00000000-0005-0000-0000-0000E3070000}"/>
    <cellStyle name="Normal 7 7 4" xfId="1969" xr:uid="{00000000-0005-0000-0000-0000E4070000}"/>
    <cellStyle name="Normal 7 7 5" xfId="1970" xr:uid="{00000000-0005-0000-0000-0000E5070000}"/>
    <cellStyle name="Normal 7 7 6" xfId="1971" xr:uid="{00000000-0005-0000-0000-0000E6070000}"/>
    <cellStyle name="Normal 7 7 7" xfId="1972" xr:uid="{00000000-0005-0000-0000-0000E7070000}"/>
    <cellStyle name="Normal 7 7_Consolidado" xfId="1973" xr:uid="{00000000-0005-0000-0000-0000E8070000}"/>
    <cellStyle name="Normal 7 8" xfId="194" xr:uid="{00000000-0005-0000-0000-0000E9070000}"/>
    <cellStyle name="Normal 7 8 2" xfId="1974" xr:uid="{00000000-0005-0000-0000-0000EA070000}"/>
    <cellStyle name="Normal 7 8 2 2" xfId="1975" xr:uid="{00000000-0005-0000-0000-0000EB070000}"/>
    <cellStyle name="Normal 7 8 2 3" xfId="1976" xr:uid="{00000000-0005-0000-0000-0000EC070000}"/>
    <cellStyle name="Normal 7 8 3" xfId="1977" xr:uid="{00000000-0005-0000-0000-0000ED070000}"/>
    <cellStyle name="Normal 7 8 3 2" xfId="1978" xr:uid="{00000000-0005-0000-0000-0000EE070000}"/>
    <cellStyle name="Normal 7 8 3 3" xfId="1979" xr:uid="{00000000-0005-0000-0000-0000EF070000}"/>
    <cellStyle name="Normal 7 8 4" xfId="1980" xr:uid="{00000000-0005-0000-0000-0000F0070000}"/>
    <cellStyle name="Normal 7 8 5" xfId="1981" xr:uid="{00000000-0005-0000-0000-0000F1070000}"/>
    <cellStyle name="Normal 7 8 6" xfId="1982" xr:uid="{00000000-0005-0000-0000-0000F2070000}"/>
    <cellStyle name="Normal 7 8 7" xfId="1983" xr:uid="{00000000-0005-0000-0000-0000F3070000}"/>
    <cellStyle name="Normal 7 8_Consolidado" xfId="1984" xr:uid="{00000000-0005-0000-0000-0000F4070000}"/>
    <cellStyle name="Normal 7 9" xfId="195" xr:uid="{00000000-0005-0000-0000-0000F5070000}"/>
    <cellStyle name="Normal 7 9 2" xfId="1985" xr:uid="{00000000-0005-0000-0000-0000F6070000}"/>
    <cellStyle name="Normal 7 9 2 2" xfId="1986" xr:uid="{00000000-0005-0000-0000-0000F7070000}"/>
    <cellStyle name="Normal 7 9 2 3" xfId="1987" xr:uid="{00000000-0005-0000-0000-0000F8070000}"/>
    <cellStyle name="Normal 7 9 3" xfId="1988" xr:uid="{00000000-0005-0000-0000-0000F9070000}"/>
    <cellStyle name="Normal 7 9 3 2" xfId="1989" xr:uid="{00000000-0005-0000-0000-0000FA070000}"/>
    <cellStyle name="Normal 7 9 3 3" xfId="1990" xr:uid="{00000000-0005-0000-0000-0000FB070000}"/>
    <cellStyle name="Normal 7 9 4" xfId="1991" xr:uid="{00000000-0005-0000-0000-0000FC070000}"/>
    <cellStyle name="Normal 7 9 5" xfId="1992" xr:uid="{00000000-0005-0000-0000-0000FD070000}"/>
    <cellStyle name="Normal 7 9 6" xfId="1993" xr:uid="{00000000-0005-0000-0000-0000FE070000}"/>
    <cellStyle name="Normal 7 9 7" xfId="1994" xr:uid="{00000000-0005-0000-0000-0000FF070000}"/>
    <cellStyle name="Normal 7 9_Consolidado" xfId="1995" xr:uid="{00000000-0005-0000-0000-000000080000}"/>
    <cellStyle name="Normal 7_Consolidado" xfId="1996" xr:uid="{00000000-0005-0000-0000-000001080000}"/>
    <cellStyle name="Normal 70" xfId="1997" xr:uid="{00000000-0005-0000-0000-000002080000}"/>
    <cellStyle name="Normal 71" xfId="1998" xr:uid="{00000000-0005-0000-0000-000003080000}"/>
    <cellStyle name="Normal 72" xfId="1999" xr:uid="{00000000-0005-0000-0000-000004080000}"/>
    <cellStyle name="Normal 73" xfId="2000" xr:uid="{00000000-0005-0000-0000-000005080000}"/>
    <cellStyle name="Normal 74" xfId="2001" xr:uid="{00000000-0005-0000-0000-000006080000}"/>
    <cellStyle name="Normal 75" xfId="2002" xr:uid="{00000000-0005-0000-0000-000007080000}"/>
    <cellStyle name="Normal 76" xfId="2003" xr:uid="{00000000-0005-0000-0000-000008080000}"/>
    <cellStyle name="Normal 77" xfId="2004" xr:uid="{00000000-0005-0000-0000-000009080000}"/>
    <cellStyle name="Normal 78" xfId="2005" xr:uid="{00000000-0005-0000-0000-00000A080000}"/>
    <cellStyle name="Normal 79" xfId="2006" xr:uid="{00000000-0005-0000-0000-00000B080000}"/>
    <cellStyle name="Normal 8" xfId="196" xr:uid="{00000000-0005-0000-0000-00000C080000}"/>
    <cellStyle name="Normal 8 2" xfId="2261" xr:uid="{00000000-0005-0000-0000-00000D080000}"/>
    <cellStyle name="Normal 80" xfId="2007" xr:uid="{00000000-0005-0000-0000-00000E080000}"/>
    <cellStyle name="Normal 81" xfId="2008" xr:uid="{00000000-0005-0000-0000-00000F080000}"/>
    <cellStyle name="Normal 82" xfId="2009" xr:uid="{00000000-0005-0000-0000-000010080000}"/>
    <cellStyle name="Normal 83" xfId="2010" xr:uid="{00000000-0005-0000-0000-000011080000}"/>
    <cellStyle name="Normal 84" xfId="2011" xr:uid="{00000000-0005-0000-0000-000012080000}"/>
    <cellStyle name="Normal 85" xfId="2012" xr:uid="{00000000-0005-0000-0000-000013080000}"/>
    <cellStyle name="Normal 86" xfId="2013" xr:uid="{00000000-0005-0000-0000-000014080000}"/>
    <cellStyle name="Normal 87" xfId="2014" xr:uid="{00000000-0005-0000-0000-000015080000}"/>
    <cellStyle name="Normal 88" xfId="2015" xr:uid="{00000000-0005-0000-0000-000016080000}"/>
    <cellStyle name="Normal 89" xfId="2016" xr:uid="{00000000-0005-0000-0000-000017080000}"/>
    <cellStyle name="Normal 9" xfId="197" xr:uid="{00000000-0005-0000-0000-000018080000}"/>
    <cellStyle name="Normal 9 10" xfId="198" xr:uid="{00000000-0005-0000-0000-000019080000}"/>
    <cellStyle name="Normal 9 10 2" xfId="2017" xr:uid="{00000000-0005-0000-0000-00001A080000}"/>
    <cellStyle name="Normal 9 10 2 2" xfId="2018" xr:uid="{00000000-0005-0000-0000-00001B080000}"/>
    <cellStyle name="Normal 9 10 2 3" xfId="2019" xr:uid="{00000000-0005-0000-0000-00001C080000}"/>
    <cellStyle name="Normal 9 10 3" xfId="2020" xr:uid="{00000000-0005-0000-0000-00001D080000}"/>
    <cellStyle name="Normal 9 10 3 2" xfId="2021" xr:uid="{00000000-0005-0000-0000-00001E080000}"/>
    <cellStyle name="Normal 9 10 3 3" xfId="2022" xr:uid="{00000000-0005-0000-0000-00001F080000}"/>
    <cellStyle name="Normal 9 10 4" xfId="2023" xr:uid="{00000000-0005-0000-0000-000020080000}"/>
    <cellStyle name="Normal 9 10 5" xfId="2024" xr:uid="{00000000-0005-0000-0000-000021080000}"/>
    <cellStyle name="Normal 9 10 6" xfId="2025" xr:uid="{00000000-0005-0000-0000-000022080000}"/>
    <cellStyle name="Normal 9 10 7" xfId="2026" xr:uid="{00000000-0005-0000-0000-000023080000}"/>
    <cellStyle name="Normal 9 10_Consolidado" xfId="2027" xr:uid="{00000000-0005-0000-0000-000024080000}"/>
    <cellStyle name="Normal 9 11" xfId="199" xr:uid="{00000000-0005-0000-0000-000025080000}"/>
    <cellStyle name="Normal 9 11 2" xfId="2028" xr:uid="{00000000-0005-0000-0000-000026080000}"/>
    <cellStyle name="Normal 9 11 2 2" xfId="2029" xr:uid="{00000000-0005-0000-0000-000027080000}"/>
    <cellStyle name="Normal 9 11 2 3" xfId="2030" xr:uid="{00000000-0005-0000-0000-000028080000}"/>
    <cellStyle name="Normal 9 11 3" xfId="2031" xr:uid="{00000000-0005-0000-0000-000029080000}"/>
    <cellStyle name="Normal 9 11 3 2" xfId="2032" xr:uid="{00000000-0005-0000-0000-00002A080000}"/>
    <cellStyle name="Normal 9 11 3 3" xfId="2033" xr:uid="{00000000-0005-0000-0000-00002B080000}"/>
    <cellStyle name="Normal 9 11 4" xfId="2034" xr:uid="{00000000-0005-0000-0000-00002C080000}"/>
    <cellStyle name="Normal 9 11 5" xfId="2035" xr:uid="{00000000-0005-0000-0000-00002D080000}"/>
    <cellStyle name="Normal 9 11 6" xfId="2036" xr:uid="{00000000-0005-0000-0000-00002E080000}"/>
    <cellStyle name="Normal 9 11 7" xfId="2037" xr:uid="{00000000-0005-0000-0000-00002F080000}"/>
    <cellStyle name="Normal 9 11_Consolidado" xfId="2038" xr:uid="{00000000-0005-0000-0000-000030080000}"/>
    <cellStyle name="Normal 9 12" xfId="200" xr:uid="{00000000-0005-0000-0000-000031080000}"/>
    <cellStyle name="Normal 9 12 2" xfId="2039" xr:uid="{00000000-0005-0000-0000-000032080000}"/>
    <cellStyle name="Normal 9 12 2 2" xfId="2040" xr:uid="{00000000-0005-0000-0000-000033080000}"/>
    <cellStyle name="Normal 9 12 2 3" xfId="2041" xr:uid="{00000000-0005-0000-0000-000034080000}"/>
    <cellStyle name="Normal 9 12 3" xfId="2042" xr:uid="{00000000-0005-0000-0000-000035080000}"/>
    <cellStyle name="Normal 9 12 3 2" xfId="2043" xr:uid="{00000000-0005-0000-0000-000036080000}"/>
    <cellStyle name="Normal 9 12 3 3" xfId="2044" xr:uid="{00000000-0005-0000-0000-000037080000}"/>
    <cellStyle name="Normal 9 12 4" xfId="2045" xr:uid="{00000000-0005-0000-0000-000038080000}"/>
    <cellStyle name="Normal 9 12 5" xfId="2046" xr:uid="{00000000-0005-0000-0000-000039080000}"/>
    <cellStyle name="Normal 9 12 6" xfId="2047" xr:uid="{00000000-0005-0000-0000-00003A080000}"/>
    <cellStyle name="Normal 9 12 7" xfId="2048" xr:uid="{00000000-0005-0000-0000-00003B080000}"/>
    <cellStyle name="Normal 9 12_Consolidado" xfId="2049" xr:uid="{00000000-0005-0000-0000-00003C080000}"/>
    <cellStyle name="Normal 9 13" xfId="201" xr:uid="{00000000-0005-0000-0000-00003D080000}"/>
    <cellStyle name="Normal 9 13 2" xfId="2050" xr:uid="{00000000-0005-0000-0000-00003E080000}"/>
    <cellStyle name="Normal 9 13 2 2" xfId="2051" xr:uid="{00000000-0005-0000-0000-00003F080000}"/>
    <cellStyle name="Normal 9 13 2 3" xfId="2052" xr:uid="{00000000-0005-0000-0000-000040080000}"/>
    <cellStyle name="Normal 9 13 3" xfId="2053" xr:uid="{00000000-0005-0000-0000-000041080000}"/>
    <cellStyle name="Normal 9 13 3 2" xfId="2054" xr:uid="{00000000-0005-0000-0000-000042080000}"/>
    <cellStyle name="Normal 9 13 3 3" xfId="2055" xr:uid="{00000000-0005-0000-0000-000043080000}"/>
    <cellStyle name="Normal 9 13 4" xfId="2056" xr:uid="{00000000-0005-0000-0000-000044080000}"/>
    <cellStyle name="Normal 9 13 5" xfId="2057" xr:uid="{00000000-0005-0000-0000-000045080000}"/>
    <cellStyle name="Normal 9 13 6" xfId="2058" xr:uid="{00000000-0005-0000-0000-000046080000}"/>
    <cellStyle name="Normal 9 13 7" xfId="2059" xr:uid="{00000000-0005-0000-0000-000047080000}"/>
    <cellStyle name="Normal 9 13_Consolidado" xfId="2060" xr:uid="{00000000-0005-0000-0000-000048080000}"/>
    <cellStyle name="Normal 9 14" xfId="202" xr:uid="{00000000-0005-0000-0000-000049080000}"/>
    <cellStyle name="Normal 9 14 2" xfId="2061" xr:uid="{00000000-0005-0000-0000-00004A080000}"/>
    <cellStyle name="Normal 9 14 2 2" xfId="2062" xr:uid="{00000000-0005-0000-0000-00004B080000}"/>
    <cellStyle name="Normal 9 14 2 3" xfId="2063" xr:uid="{00000000-0005-0000-0000-00004C080000}"/>
    <cellStyle name="Normal 9 14 3" xfId="2064" xr:uid="{00000000-0005-0000-0000-00004D080000}"/>
    <cellStyle name="Normal 9 14 3 2" xfId="2065" xr:uid="{00000000-0005-0000-0000-00004E080000}"/>
    <cellStyle name="Normal 9 14 3 3" xfId="2066" xr:uid="{00000000-0005-0000-0000-00004F080000}"/>
    <cellStyle name="Normal 9 14 4" xfId="2067" xr:uid="{00000000-0005-0000-0000-000050080000}"/>
    <cellStyle name="Normal 9 14 5" xfId="2068" xr:uid="{00000000-0005-0000-0000-000051080000}"/>
    <cellStyle name="Normal 9 14 6" xfId="2069" xr:uid="{00000000-0005-0000-0000-000052080000}"/>
    <cellStyle name="Normal 9 14 7" xfId="2070" xr:uid="{00000000-0005-0000-0000-000053080000}"/>
    <cellStyle name="Normal 9 14_Consolidado" xfId="2071" xr:uid="{00000000-0005-0000-0000-000054080000}"/>
    <cellStyle name="Normal 9 15" xfId="203" xr:uid="{00000000-0005-0000-0000-000055080000}"/>
    <cellStyle name="Normal 9 15 2" xfId="2072" xr:uid="{00000000-0005-0000-0000-000056080000}"/>
    <cellStyle name="Normal 9 15 3" xfId="2073" xr:uid="{00000000-0005-0000-0000-000057080000}"/>
    <cellStyle name="Normal 9 16" xfId="2074" xr:uid="{00000000-0005-0000-0000-000058080000}"/>
    <cellStyle name="Normal 9 16 2" xfId="2075" xr:uid="{00000000-0005-0000-0000-000059080000}"/>
    <cellStyle name="Normal 9 16 3" xfId="2076" xr:uid="{00000000-0005-0000-0000-00005A080000}"/>
    <cellStyle name="Normal 9 17" xfId="2077" xr:uid="{00000000-0005-0000-0000-00005B080000}"/>
    <cellStyle name="Normal 9 17 2" xfId="2078" xr:uid="{00000000-0005-0000-0000-00005C080000}"/>
    <cellStyle name="Normal 9 17 3" xfId="2079" xr:uid="{00000000-0005-0000-0000-00005D080000}"/>
    <cellStyle name="Normal 9 18" xfId="2080" xr:uid="{00000000-0005-0000-0000-00005E080000}"/>
    <cellStyle name="Normal 9 19" xfId="2081" xr:uid="{00000000-0005-0000-0000-00005F080000}"/>
    <cellStyle name="Normal 9 2" xfId="204" xr:uid="{00000000-0005-0000-0000-000060080000}"/>
    <cellStyle name="Normal 9 2 2" xfId="2082" xr:uid="{00000000-0005-0000-0000-000061080000}"/>
    <cellStyle name="Normal 9 2 2 2" xfId="2083" xr:uid="{00000000-0005-0000-0000-000062080000}"/>
    <cellStyle name="Normal 9 2 2 3" xfId="2084" xr:uid="{00000000-0005-0000-0000-000063080000}"/>
    <cellStyle name="Normal 9 2 3" xfId="2085" xr:uid="{00000000-0005-0000-0000-000064080000}"/>
    <cellStyle name="Normal 9 2 3 2" xfId="2086" xr:uid="{00000000-0005-0000-0000-000065080000}"/>
    <cellStyle name="Normal 9 2 3 3" xfId="2087" xr:uid="{00000000-0005-0000-0000-000066080000}"/>
    <cellStyle name="Normal 9 2 4" xfId="2088" xr:uid="{00000000-0005-0000-0000-000067080000}"/>
    <cellStyle name="Normal 9 2 5" xfId="2089" xr:uid="{00000000-0005-0000-0000-000068080000}"/>
    <cellStyle name="Normal 9 2 6" xfId="2090" xr:uid="{00000000-0005-0000-0000-000069080000}"/>
    <cellStyle name="Normal 9 2 7" xfId="2091" xr:uid="{00000000-0005-0000-0000-00006A080000}"/>
    <cellStyle name="Normal 9 2_Consolidado" xfId="2092" xr:uid="{00000000-0005-0000-0000-00006B080000}"/>
    <cellStyle name="Normal 9 20" xfId="2093" xr:uid="{00000000-0005-0000-0000-00006C080000}"/>
    <cellStyle name="Normal 9 21" xfId="2094" xr:uid="{00000000-0005-0000-0000-00006D080000}"/>
    <cellStyle name="Normal 9 3" xfId="205" xr:uid="{00000000-0005-0000-0000-00006E080000}"/>
    <cellStyle name="Normal 9 3 2" xfId="2095" xr:uid="{00000000-0005-0000-0000-00006F080000}"/>
    <cellStyle name="Normal 9 3 2 2" xfId="2096" xr:uid="{00000000-0005-0000-0000-000070080000}"/>
    <cellStyle name="Normal 9 3 2 3" xfId="2097" xr:uid="{00000000-0005-0000-0000-000071080000}"/>
    <cellStyle name="Normal 9 3 3" xfId="2098" xr:uid="{00000000-0005-0000-0000-000072080000}"/>
    <cellStyle name="Normal 9 3 3 2" xfId="2099" xr:uid="{00000000-0005-0000-0000-000073080000}"/>
    <cellStyle name="Normal 9 3 3 3" xfId="2100" xr:uid="{00000000-0005-0000-0000-000074080000}"/>
    <cellStyle name="Normal 9 3 4" xfId="2101" xr:uid="{00000000-0005-0000-0000-000075080000}"/>
    <cellStyle name="Normal 9 3 5" xfId="2102" xr:uid="{00000000-0005-0000-0000-000076080000}"/>
    <cellStyle name="Normal 9 3 6" xfId="2103" xr:uid="{00000000-0005-0000-0000-000077080000}"/>
    <cellStyle name="Normal 9 3 7" xfId="2104" xr:uid="{00000000-0005-0000-0000-000078080000}"/>
    <cellStyle name="Normal 9 3_Consolidado" xfId="2105" xr:uid="{00000000-0005-0000-0000-000079080000}"/>
    <cellStyle name="Normal 9 4" xfId="206" xr:uid="{00000000-0005-0000-0000-00007A080000}"/>
    <cellStyle name="Normal 9 4 2" xfId="2106" xr:uid="{00000000-0005-0000-0000-00007B080000}"/>
    <cellStyle name="Normal 9 4 2 2" xfId="2107" xr:uid="{00000000-0005-0000-0000-00007C080000}"/>
    <cellStyle name="Normal 9 4 2 3" xfId="2108" xr:uid="{00000000-0005-0000-0000-00007D080000}"/>
    <cellStyle name="Normal 9 4 3" xfId="2109" xr:uid="{00000000-0005-0000-0000-00007E080000}"/>
    <cellStyle name="Normal 9 4 3 2" xfId="2110" xr:uid="{00000000-0005-0000-0000-00007F080000}"/>
    <cellStyle name="Normal 9 4 3 3" xfId="2111" xr:uid="{00000000-0005-0000-0000-000080080000}"/>
    <cellStyle name="Normal 9 4 4" xfId="2112" xr:uid="{00000000-0005-0000-0000-000081080000}"/>
    <cellStyle name="Normal 9 4 5" xfId="2113" xr:uid="{00000000-0005-0000-0000-000082080000}"/>
    <cellStyle name="Normal 9 4 6" xfId="2114" xr:uid="{00000000-0005-0000-0000-000083080000}"/>
    <cellStyle name="Normal 9 4 7" xfId="2115" xr:uid="{00000000-0005-0000-0000-000084080000}"/>
    <cellStyle name="Normal 9 4_Consolidado" xfId="2116" xr:uid="{00000000-0005-0000-0000-000085080000}"/>
    <cellStyle name="Normal 9 5" xfId="207" xr:uid="{00000000-0005-0000-0000-000086080000}"/>
    <cellStyle name="Normal 9 5 2" xfId="2117" xr:uid="{00000000-0005-0000-0000-000087080000}"/>
    <cellStyle name="Normal 9 5 2 2" xfId="2118" xr:uid="{00000000-0005-0000-0000-000088080000}"/>
    <cellStyle name="Normal 9 5 2 3" xfId="2119" xr:uid="{00000000-0005-0000-0000-000089080000}"/>
    <cellStyle name="Normal 9 5 3" xfId="2120" xr:uid="{00000000-0005-0000-0000-00008A080000}"/>
    <cellStyle name="Normal 9 5 3 2" xfId="2121" xr:uid="{00000000-0005-0000-0000-00008B080000}"/>
    <cellStyle name="Normal 9 5 3 3" xfId="2122" xr:uid="{00000000-0005-0000-0000-00008C080000}"/>
    <cellStyle name="Normal 9 5 4" xfId="2123" xr:uid="{00000000-0005-0000-0000-00008D080000}"/>
    <cellStyle name="Normal 9 5 5" xfId="2124" xr:uid="{00000000-0005-0000-0000-00008E080000}"/>
    <cellStyle name="Normal 9 5 6" xfId="2125" xr:uid="{00000000-0005-0000-0000-00008F080000}"/>
    <cellStyle name="Normal 9 5 7" xfId="2126" xr:uid="{00000000-0005-0000-0000-000090080000}"/>
    <cellStyle name="Normal 9 5_Consolidado" xfId="2127" xr:uid="{00000000-0005-0000-0000-000091080000}"/>
    <cellStyle name="Normal 9 6" xfId="208" xr:uid="{00000000-0005-0000-0000-000092080000}"/>
    <cellStyle name="Normal 9 6 2" xfId="2128" xr:uid="{00000000-0005-0000-0000-000093080000}"/>
    <cellStyle name="Normal 9 6 2 2" xfId="2129" xr:uid="{00000000-0005-0000-0000-000094080000}"/>
    <cellStyle name="Normal 9 6 2 3" xfId="2130" xr:uid="{00000000-0005-0000-0000-000095080000}"/>
    <cellStyle name="Normal 9 6 3" xfId="2131" xr:uid="{00000000-0005-0000-0000-000096080000}"/>
    <cellStyle name="Normal 9 6 3 2" xfId="2132" xr:uid="{00000000-0005-0000-0000-000097080000}"/>
    <cellStyle name="Normal 9 6 3 3" xfId="2133" xr:uid="{00000000-0005-0000-0000-000098080000}"/>
    <cellStyle name="Normal 9 6 4" xfId="2134" xr:uid="{00000000-0005-0000-0000-000099080000}"/>
    <cellStyle name="Normal 9 6 5" xfId="2135" xr:uid="{00000000-0005-0000-0000-00009A080000}"/>
    <cellStyle name="Normal 9 6 6" xfId="2136" xr:uid="{00000000-0005-0000-0000-00009B080000}"/>
    <cellStyle name="Normal 9 6 7" xfId="2137" xr:uid="{00000000-0005-0000-0000-00009C080000}"/>
    <cellStyle name="Normal 9 6_Consolidado" xfId="2138" xr:uid="{00000000-0005-0000-0000-00009D080000}"/>
    <cellStyle name="Normal 9 7" xfId="209" xr:uid="{00000000-0005-0000-0000-00009E080000}"/>
    <cellStyle name="Normal 9 7 2" xfId="2139" xr:uid="{00000000-0005-0000-0000-00009F080000}"/>
    <cellStyle name="Normal 9 7 2 2" xfId="2140" xr:uid="{00000000-0005-0000-0000-0000A0080000}"/>
    <cellStyle name="Normal 9 7 2 3" xfId="2141" xr:uid="{00000000-0005-0000-0000-0000A1080000}"/>
    <cellStyle name="Normal 9 7 3" xfId="2142" xr:uid="{00000000-0005-0000-0000-0000A2080000}"/>
    <cellStyle name="Normal 9 7 3 2" xfId="2143" xr:uid="{00000000-0005-0000-0000-0000A3080000}"/>
    <cellStyle name="Normal 9 7 3 3" xfId="2144" xr:uid="{00000000-0005-0000-0000-0000A4080000}"/>
    <cellStyle name="Normal 9 7 4" xfId="2145" xr:uid="{00000000-0005-0000-0000-0000A5080000}"/>
    <cellStyle name="Normal 9 7 5" xfId="2146" xr:uid="{00000000-0005-0000-0000-0000A6080000}"/>
    <cellStyle name="Normal 9 7 6" xfId="2147" xr:uid="{00000000-0005-0000-0000-0000A7080000}"/>
    <cellStyle name="Normal 9 7 7" xfId="2148" xr:uid="{00000000-0005-0000-0000-0000A8080000}"/>
    <cellStyle name="Normal 9 7_Consolidado" xfId="2149" xr:uid="{00000000-0005-0000-0000-0000A9080000}"/>
    <cellStyle name="Normal 9 8" xfId="210" xr:uid="{00000000-0005-0000-0000-0000AA080000}"/>
    <cellStyle name="Normal 9 8 2" xfId="2150" xr:uid="{00000000-0005-0000-0000-0000AB080000}"/>
    <cellStyle name="Normal 9 8 2 2" xfId="2151" xr:uid="{00000000-0005-0000-0000-0000AC080000}"/>
    <cellStyle name="Normal 9 8 2 3" xfId="2152" xr:uid="{00000000-0005-0000-0000-0000AD080000}"/>
    <cellStyle name="Normal 9 8 3" xfId="2153" xr:uid="{00000000-0005-0000-0000-0000AE080000}"/>
    <cellStyle name="Normal 9 8 3 2" xfId="2154" xr:uid="{00000000-0005-0000-0000-0000AF080000}"/>
    <cellStyle name="Normal 9 8 3 3" xfId="2155" xr:uid="{00000000-0005-0000-0000-0000B0080000}"/>
    <cellStyle name="Normal 9 8 4" xfId="2156" xr:uid="{00000000-0005-0000-0000-0000B1080000}"/>
    <cellStyle name="Normal 9 8 5" xfId="2157" xr:uid="{00000000-0005-0000-0000-0000B2080000}"/>
    <cellStyle name="Normal 9 8 6" xfId="2158" xr:uid="{00000000-0005-0000-0000-0000B3080000}"/>
    <cellStyle name="Normal 9 8 7" xfId="2159" xr:uid="{00000000-0005-0000-0000-0000B4080000}"/>
    <cellStyle name="Normal 9 8_Consolidado" xfId="2160" xr:uid="{00000000-0005-0000-0000-0000B5080000}"/>
    <cellStyle name="Normal 9 9" xfId="211" xr:uid="{00000000-0005-0000-0000-0000B6080000}"/>
    <cellStyle name="Normal 9 9 2" xfId="2161" xr:uid="{00000000-0005-0000-0000-0000B7080000}"/>
    <cellStyle name="Normal 9 9 2 2" xfId="2162" xr:uid="{00000000-0005-0000-0000-0000B8080000}"/>
    <cellStyle name="Normal 9 9 2 3" xfId="2163" xr:uid="{00000000-0005-0000-0000-0000B9080000}"/>
    <cellStyle name="Normal 9 9 3" xfId="2164" xr:uid="{00000000-0005-0000-0000-0000BA080000}"/>
    <cellStyle name="Normal 9 9 3 2" xfId="2165" xr:uid="{00000000-0005-0000-0000-0000BB080000}"/>
    <cellStyle name="Normal 9 9 3 3" xfId="2166" xr:uid="{00000000-0005-0000-0000-0000BC080000}"/>
    <cellStyle name="Normal 9 9 4" xfId="2167" xr:uid="{00000000-0005-0000-0000-0000BD080000}"/>
    <cellStyle name="Normal 9 9 5" xfId="2168" xr:uid="{00000000-0005-0000-0000-0000BE080000}"/>
    <cellStyle name="Normal 9 9 6" xfId="2169" xr:uid="{00000000-0005-0000-0000-0000BF080000}"/>
    <cellStyle name="Normal 9 9 7" xfId="2170" xr:uid="{00000000-0005-0000-0000-0000C0080000}"/>
    <cellStyle name="Normal 9 9_Consolidado" xfId="2171" xr:uid="{00000000-0005-0000-0000-0000C1080000}"/>
    <cellStyle name="Normal 9_Consolidado" xfId="2172" xr:uid="{00000000-0005-0000-0000-0000C2080000}"/>
    <cellStyle name="Normal 90" xfId="2173" xr:uid="{00000000-0005-0000-0000-0000C3080000}"/>
    <cellStyle name="Normal 91" xfId="2174" xr:uid="{00000000-0005-0000-0000-0000C4080000}"/>
    <cellStyle name="Normal 92" xfId="2265" xr:uid="{00000000-0005-0000-0000-0000C5080000}"/>
    <cellStyle name="Normal_NEU4-PL166 (Competencias y respons. EPASa3)" xfId="212" xr:uid="{00000000-0005-0000-0000-0000C6080000}"/>
    <cellStyle name="Normal_NEU4-PL166 (Competencias y respons. EPASa3) 2" xfId="2264" xr:uid="{00000000-0005-0000-0000-0000C7080000}"/>
    <cellStyle name="Porcentaje 2" xfId="221" xr:uid="{00000000-0005-0000-0000-0000C8080000}"/>
    <cellStyle name="Porcentaje 2 2" xfId="224" xr:uid="{00000000-0005-0000-0000-0000C9080000}"/>
    <cellStyle name="Porcentaje 2 3" xfId="2175" xr:uid="{00000000-0005-0000-0000-0000CA080000}"/>
    <cellStyle name="Porcentaje 2 4" xfId="2262" xr:uid="{00000000-0005-0000-0000-0000CB080000}"/>
    <cellStyle name="Porcentaje 2 4 2" xfId="2263" xr:uid="{00000000-0005-0000-0000-0000CC080000}"/>
    <cellStyle name="Porcentaje 2 4 2 3 2" xfId="2267" xr:uid="{00000000-0005-0000-0000-0000CD080000}"/>
    <cellStyle name="Porcentaje 2 4 2 3 2 2" xfId="2283" xr:uid="{00000000-0005-0000-0000-0000CE080000}"/>
    <cellStyle name="Porcentaje 2 4 2 3 2 2 2" xfId="2287" xr:uid="{00000000-0005-0000-0000-0000CF080000}"/>
    <cellStyle name="Porcentaje 3" xfId="2176" xr:uid="{00000000-0005-0000-0000-0000D0080000}"/>
    <cellStyle name="Porcentual 10" xfId="213" xr:uid="{00000000-0005-0000-0000-0000D1080000}"/>
    <cellStyle name="Porcentual 10 2" xfId="214" xr:uid="{00000000-0005-0000-0000-0000D2080000}"/>
    <cellStyle name="Porcentual 10 2 2" xfId="2177" xr:uid="{00000000-0005-0000-0000-0000D3080000}"/>
    <cellStyle name="Porcentual 10 2 3" xfId="2178" xr:uid="{00000000-0005-0000-0000-0000D4080000}"/>
    <cellStyle name="Porcentual 10 3" xfId="2179" xr:uid="{00000000-0005-0000-0000-0000D5080000}"/>
    <cellStyle name="Porcentual 10 3 2" xfId="2180" xr:uid="{00000000-0005-0000-0000-0000D6080000}"/>
    <cellStyle name="Porcentual 10 3 3" xfId="2181" xr:uid="{00000000-0005-0000-0000-0000D7080000}"/>
    <cellStyle name="Porcentual 10 4" xfId="2182" xr:uid="{00000000-0005-0000-0000-0000D8080000}"/>
    <cellStyle name="Porcentual 10 4 2" xfId="2183" xr:uid="{00000000-0005-0000-0000-0000D9080000}"/>
    <cellStyle name="Porcentual 10 4 3" xfId="2184" xr:uid="{00000000-0005-0000-0000-0000DA080000}"/>
    <cellStyle name="Porcentual 10 5" xfId="2185" xr:uid="{00000000-0005-0000-0000-0000DB080000}"/>
    <cellStyle name="Porcentual 10 6" xfId="2186" xr:uid="{00000000-0005-0000-0000-0000DC080000}"/>
    <cellStyle name="Porcentual 10 7" xfId="2187" xr:uid="{00000000-0005-0000-0000-0000DD080000}"/>
    <cellStyle name="Porcentual 10 8" xfId="2188" xr:uid="{00000000-0005-0000-0000-0000DE080000}"/>
    <cellStyle name="Porcentual 2" xfId="215" xr:uid="{00000000-0005-0000-0000-0000DF080000}"/>
    <cellStyle name="Porcentual 2 10" xfId="2189" xr:uid="{00000000-0005-0000-0000-0000E0080000}"/>
    <cellStyle name="Porcentual 2 11" xfId="2190" xr:uid="{00000000-0005-0000-0000-0000E1080000}"/>
    <cellStyle name="Porcentual 2 12" xfId="2191" xr:uid="{00000000-0005-0000-0000-0000E2080000}"/>
    <cellStyle name="Porcentual 2 13" xfId="2192" xr:uid="{00000000-0005-0000-0000-0000E3080000}"/>
    <cellStyle name="Porcentual 2 14" xfId="2193" xr:uid="{00000000-0005-0000-0000-0000E4080000}"/>
    <cellStyle name="Porcentual 2 15" xfId="2194" xr:uid="{00000000-0005-0000-0000-0000E5080000}"/>
    <cellStyle name="Porcentual 2 16" xfId="2195" xr:uid="{00000000-0005-0000-0000-0000E6080000}"/>
    <cellStyle name="Porcentual 2 17" xfId="2196" xr:uid="{00000000-0005-0000-0000-0000E7080000}"/>
    <cellStyle name="Porcentual 2 18" xfId="2197" xr:uid="{00000000-0005-0000-0000-0000E8080000}"/>
    <cellStyle name="Porcentual 2 19" xfId="2198" xr:uid="{00000000-0005-0000-0000-0000E9080000}"/>
    <cellStyle name="Porcentual 2 2" xfId="216" xr:uid="{00000000-0005-0000-0000-0000EA080000}"/>
    <cellStyle name="Porcentual 2 3" xfId="2199" xr:uid="{00000000-0005-0000-0000-0000EB080000}"/>
    <cellStyle name="Porcentual 2 4" xfId="2200" xr:uid="{00000000-0005-0000-0000-0000EC080000}"/>
    <cellStyle name="Porcentual 2 5" xfId="2201" xr:uid="{00000000-0005-0000-0000-0000ED080000}"/>
    <cellStyle name="Porcentual 2 6" xfId="2202" xr:uid="{00000000-0005-0000-0000-0000EE080000}"/>
    <cellStyle name="Porcentual 2 7" xfId="2203" xr:uid="{00000000-0005-0000-0000-0000EF080000}"/>
    <cellStyle name="Porcentual 2 8" xfId="2204" xr:uid="{00000000-0005-0000-0000-0000F0080000}"/>
    <cellStyle name="Porcentual 2 9" xfId="2205" xr:uid="{00000000-0005-0000-0000-0000F1080000}"/>
  </cellStyles>
  <dxfs count="0"/>
  <tableStyles count="0" defaultTableStyle="TableStyleMedium9" defaultPivotStyle="PivotStyleLight16"/>
  <colors>
    <mruColors>
      <color rgb="FFCC9900"/>
      <color rgb="FFFFFF99"/>
      <color rgb="FF8CBF0D"/>
      <color rgb="FFFFFF66"/>
      <color rgb="FFFFCC00"/>
      <color rgb="FFFFFF00"/>
      <color rgb="FF996633"/>
      <color rgb="FF006600"/>
      <color rgb="FFCCCC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pageSetUpPr fitToPage="1"/>
  </sheetPr>
  <dimension ref="A1:G48"/>
  <sheetViews>
    <sheetView showZeros="0" topLeftCell="A18" zoomScaleNormal="100" zoomScaleSheetLayoutView="110" zoomScalePageLayoutView="115" workbookViewId="0">
      <selection activeCell="E23" sqref="E23"/>
    </sheetView>
  </sheetViews>
  <sheetFormatPr baseColWidth="10" defaultRowHeight="12.75" x14ac:dyDescent="0.2"/>
  <cols>
    <col min="1" max="1" width="27.85546875" style="1" customWidth="1"/>
    <col min="2" max="2" width="39.140625" style="1" customWidth="1"/>
    <col min="3" max="3" width="34.28515625" style="1" customWidth="1"/>
    <col min="4" max="4" width="25.7109375" style="1" customWidth="1"/>
    <col min="5" max="16384" width="11.42578125" style="1"/>
  </cols>
  <sheetData>
    <row r="1" spans="1:4" s="27" customFormat="1" ht="18" x14ac:dyDescent="0.2">
      <c r="A1" s="1480" t="s">
        <v>477</v>
      </c>
      <c r="B1" s="1480"/>
      <c r="C1" s="1480"/>
      <c r="D1" s="1480"/>
    </row>
    <row r="2" spans="1:4" s="27" customFormat="1" ht="17.25" thickBot="1" x14ac:dyDescent="0.25">
      <c r="A2" s="52"/>
      <c r="B2" s="52"/>
      <c r="C2" s="52"/>
      <c r="D2" s="493" t="s">
        <v>1340</v>
      </c>
    </row>
    <row r="3" spans="1:4" s="25" customFormat="1" ht="26.25" customHeight="1" thickBot="1" x14ac:dyDescent="0.25">
      <c r="A3" s="1491" t="s">
        <v>1339</v>
      </c>
      <c r="B3" s="1492"/>
      <c r="C3" s="1492"/>
      <c r="D3" s="1493"/>
    </row>
    <row r="4" spans="1:4" ht="24" customHeight="1" x14ac:dyDescent="0.2">
      <c r="A4" s="1448" t="s">
        <v>501</v>
      </c>
      <c r="B4" s="1483" t="s">
        <v>484</v>
      </c>
      <c r="C4" s="1483"/>
      <c r="D4" s="1484"/>
    </row>
    <row r="5" spans="1:4" ht="24" customHeight="1" x14ac:dyDescent="0.2">
      <c r="A5" s="1449"/>
      <c r="B5" s="1466" t="s">
        <v>516</v>
      </c>
      <c r="C5" s="1466"/>
      <c r="D5" s="1467"/>
    </row>
    <row r="6" spans="1:4" ht="24" customHeight="1" x14ac:dyDescent="0.2">
      <c r="A6" s="1449"/>
      <c r="B6" s="1466" t="s">
        <v>499</v>
      </c>
      <c r="C6" s="1466"/>
      <c r="D6" s="1467"/>
    </row>
    <row r="7" spans="1:4" ht="24" customHeight="1" x14ac:dyDescent="0.2">
      <c r="A7" s="1449"/>
      <c r="B7" s="1466" t="s">
        <v>517</v>
      </c>
      <c r="C7" s="1466"/>
      <c r="D7" s="1467"/>
    </row>
    <row r="8" spans="1:4" ht="24" customHeight="1" x14ac:dyDescent="0.2">
      <c r="A8" s="1449"/>
      <c r="B8" s="1466" t="s">
        <v>500</v>
      </c>
      <c r="C8" s="1466"/>
      <c r="D8" s="1467"/>
    </row>
    <row r="9" spans="1:4" ht="24" customHeight="1" x14ac:dyDescent="0.2">
      <c r="A9" s="1449"/>
      <c r="B9" s="1466" t="s">
        <v>518</v>
      </c>
      <c r="C9" s="1466"/>
      <c r="D9" s="1467"/>
    </row>
    <row r="10" spans="1:4" ht="24" customHeight="1" x14ac:dyDescent="0.2">
      <c r="A10" s="1449"/>
      <c r="B10" s="1466" t="s">
        <v>519</v>
      </c>
      <c r="C10" s="1466"/>
      <c r="D10" s="1467"/>
    </row>
    <row r="11" spans="1:4" ht="24" customHeight="1" x14ac:dyDescent="0.2">
      <c r="A11" s="1450"/>
      <c r="B11" s="1489" t="s">
        <v>502</v>
      </c>
      <c r="C11" s="1489"/>
      <c r="D11" s="1490"/>
    </row>
    <row r="12" spans="1:4" ht="24" customHeight="1" x14ac:dyDescent="0.2">
      <c r="A12" s="1451"/>
      <c r="B12" s="1466" t="s">
        <v>520</v>
      </c>
      <c r="C12" s="1466"/>
      <c r="D12" s="1467"/>
    </row>
    <row r="13" spans="1:4" ht="24" customHeight="1" x14ac:dyDescent="0.2">
      <c r="A13" s="1451"/>
      <c r="B13" s="1466" t="s">
        <v>504</v>
      </c>
      <c r="C13" s="1466"/>
      <c r="D13" s="1467"/>
    </row>
    <row r="14" spans="1:4" ht="24" customHeight="1" x14ac:dyDescent="0.2">
      <c r="A14" s="1451"/>
      <c r="B14" s="1466" t="s">
        <v>514</v>
      </c>
      <c r="C14" s="1466"/>
      <c r="D14" s="1467"/>
    </row>
    <row r="15" spans="1:4" ht="24" customHeight="1" x14ac:dyDescent="0.2">
      <c r="A15" s="1451"/>
      <c r="B15" s="1466" t="s">
        <v>515</v>
      </c>
      <c r="C15" s="1466"/>
      <c r="D15" s="1467"/>
    </row>
    <row r="16" spans="1:4" ht="24" customHeight="1" thickBot="1" x14ac:dyDescent="0.25">
      <c r="A16" s="1452"/>
      <c r="B16" s="1485" t="s">
        <v>503</v>
      </c>
      <c r="C16" s="1485"/>
      <c r="D16" s="1486"/>
    </row>
    <row r="17" spans="1:4" ht="24" customHeight="1" x14ac:dyDescent="0.2">
      <c r="A17" s="1448" t="s">
        <v>420</v>
      </c>
      <c r="B17" s="1487" t="s">
        <v>485</v>
      </c>
      <c r="C17" s="1487"/>
      <c r="D17" s="1488"/>
    </row>
    <row r="18" spans="1:4" ht="24" customHeight="1" x14ac:dyDescent="0.2">
      <c r="A18" s="1449"/>
      <c r="B18" s="1466" t="s">
        <v>486</v>
      </c>
      <c r="C18" s="1466"/>
      <c r="D18" s="1467"/>
    </row>
    <row r="19" spans="1:4" ht="24" customHeight="1" x14ac:dyDescent="0.2">
      <c r="A19" s="1449"/>
      <c r="B19" s="1466" t="s">
        <v>521</v>
      </c>
      <c r="C19" s="1466"/>
      <c r="D19" s="1467"/>
    </row>
    <row r="20" spans="1:4" ht="24" customHeight="1" x14ac:dyDescent="0.2">
      <c r="A20" s="1449"/>
      <c r="B20" s="1468" t="s">
        <v>487</v>
      </c>
      <c r="C20" s="1468"/>
      <c r="D20" s="1469"/>
    </row>
    <row r="21" spans="1:4" ht="24" customHeight="1" x14ac:dyDescent="0.2">
      <c r="A21" s="1449"/>
      <c r="B21" s="1466" t="s">
        <v>488</v>
      </c>
      <c r="C21" s="1466"/>
      <c r="D21" s="1467"/>
    </row>
    <row r="22" spans="1:4" ht="24" customHeight="1" x14ac:dyDescent="0.2">
      <c r="A22" s="1449"/>
      <c r="B22" s="1466" t="s">
        <v>489</v>
      </c>
      <c r="C22" s="1466"/>
      <c r="D22" s="1467"/>
    </row>
    <row r="23" spans="1:4" ht="24" customHeight="1" x14ac:dyDescent="0.2">
      <c r="A23" s="1449"/>
      <c r="B23" s="1468" t="s">
        <v>490</v>
      </c>
      <c r="C23" s="1468"/>
      <c r="D23" s="1469"/>
    </row>
    <row r="24" spans="1:4" ht="24" customHeight="1" x14ac:dyDescent="0.2">
      <c r="A24" s="1449"/>
      <c r="B24" s="1466" t="s">
        <v>491</v>
      </c>
      <c r="C24" s="1466"/>
      <c r="D24" s="1467"/>
    </row>
    <row r="25" spans="1:4" ht="24" customHeight="1" x14ac:dyDescent="0.2">
      <c r="A25" s="1450"/>
      <c r="B25" s="1489" t="s">
        <v>505</v>
      </c>
      <c r="C25" s="1489"/>
      <c r="D25" s="1490"/>
    </row>
    <row r="26" spans="1:4" ht="24" customHeight="1" x14ac:dyDescent="0.2">
      <c r="A26" s="1451"/>
      <c r="B26" s="1466" t="s">
        <v>506</v>
      </c>
      <c r="C26" s="1466"/>
      <c r="D26" s="1467"/>
    </row>
    <row r="27" spans="1:4" ht="27.75" customHeight="1" x14ac:dyDescent="0.2">
      <c r="A27" s="1451"/>
      <c r="B27" s="1466" t="s">
        <v>507</v>
      </c>
      <c r="C27" s="1466"/>
      <c r="D27" s="1467"/>
    </row>
    <row r="28" spans="1:4" ht="31.5" customHeight="1" x14ac:dyDescent="0.2">
      <c r="A28" s="1451"/>
      <c r="B28" s="1466" t="s">
        <v>511</v>
      </c>
      <c r="C28" s="1466"/>
      <c r="D28" s="1467"/>
    </row>
    <row r="29" spans="1:4" ht="31.5" customHeight="1" thickBot="1" x14ac:dyDescent="0.25">
      <c r="A29" s="1452"/>
      <c r="B29" s="1494" t="s">
        <v>513</v>
      </c>
      <c r="C29" s="1494"/>
      <c r="D29" s="1495"/>
    </row>
    <row r="30" spans="1:4" ht="24" customHeight="1" x14ac:dyDescent="0.2">
      <c r="A30" s="1448" t="s">
        <v>421</v>
      </c>
      <c r="B30" s="1483" t="s">
        <v>492</v>
      </c>
      <c r="C30" s="1483"/>
      <c r="D30" s="1484"/>
    </row>
    <row r="31" spans="1:4" ht="24" customHeight="1" x14ac:dyDescent="0.2">
      <c r="A31" s="1481"/>
      <c r="B31" s="1466" t="s">
        <v>493</v>
      </c>
      <c r="C31" s="1466"/>
      <c r="D31" s="1467"/>
    </row>
    <row r="32" spans="1:4" ht="24" customHeight="1" x14ac:dyDescent="0.2">
      <c r="A32" s="1481"/>
      <c r="B32" s="1470" t="s">
        <v>522</v>
      </c>
      <c r="C32" s="1470"/>
      <c r="D32" s="1471"/>
    </row>
    <row r="33" spans="1:7" ht="24" customHeight="1" x14ac:dyDescent="0.2">
      <c r="A33" s="1481"/>
      <c r="B33" s="1472" t="s">
        <v>494</v>
      </c>
      <c r="C33" s="1472"/>
      <c r="D33" s="1473"/>
    </row>
    <row r="34" spans="1:7" ht="24" customHeight="1" x14ac:dyDescent="0.2">
      <c r="A34" s="1481"/>
      <c r="B34" s="1496" t="s">
        <v>508</v>
      </c>
      <c r="C34" s="1478"/>
      <c r="D34" s="1479"/>
    </row>
    <row r="35" spans="1:7" ht="24" customHeight="1" thickBot="1" x14ac:dyDescent="0.25">
      <c r="A35" s="1482"/>
      <c r="B35" s="1497" t="s">
        <v>512</v>
      </c>
      <c r="C35" s="1497"/>
      <c r="D35" s="1498"/>
    </row>
    <row r="36" spans="1:7" ht="24" customHeight="1" x14ac:dyDescent="0.2">
      <c r="A36" s="1456" t="s">
        <v>422</v>
      </c>
      <c r="B36" s="1453" t="s">
        <v>523</v>
      </c>
      <c r="C36" s="1454"/>
      <c r="D36" s="1455"/>
    </row>
    <row r="37" spans="1:7" ht="24" customHeight="1" x14ac:dyDescent="0.2">
      <c r="A37" s="1457"/>
      <c r="B37" s="1474" t="s">
        <v>495</v>
      </c>
      <c r="C37" s="1475"/>
      <c r="D37" s="1476"/>
    </row>
    <row r="38" spans="1:7" ht="24" customHeight="1" x14ac:dyDescent="0.2">
      <c r="A38" s="1457"/>
      <c r="B38" s="1460" t="s">
        <v>496</v>
      </c>
      <c r="C38" s="1461"/>
      <c r="D38" s="1462"/>
    </row>
    <row r="39" spans="1:7" ht="24" customHeight="1" x14ac:dyDescent="0.2">
      <c r="A39" s="1457"/>
      <c r="B39" s="1477" t="s">
        <v>497</v>
      </c>
      <c r="C39" s="1478"/>
      <c r="D39" s="1479"/>
    </row>
    <row r="40" spans="1:7" ht="24" customHeight="1" x14ac:dyDescent="0.2">
      <c r="A40" s="1457"/>
      <c r="B40" s="1460" t="s">
        <v>498</v>
      </c>
      <c r="C40" s="1461"/>
      <c r="D40" s="1462"/>
    </row>
    <row r="41" spans="1:7" ht="24" customHeight="1" x14ac:dyDescent="0.2">
      <c r="A41" s="1457"/>
      <c r="B41" s="1477" t="s">
        <v>509</v>
      </c>
      <c r="C41" s="1478"/>
      <c r="D41" s="1479"/>
    </row>
    <row r="42" spans="1:7" ht="24" customHeight="1" x14ac:dyDescent="0.2">
      <c r="A42" s="1458"/>
      <c r="B42" s="1460" t="s">
        <v>510</v>
      </c>
      <c r="C42" s="1461"/>
      <c r="D42" s="1462"/>
    </row>
    <row r="43" spans="1:7" ht="24" customHeight="1" thickBot="1" x14ac:dyDescent="0.25">
      <c r="A43" s="1459"/>
      <c r="B43" s="1463" t="s">
        <v>524</v>
      </c>
      <c r="C43" s="1464"/>
      <c r="D43" s="1465"/>
    </row>
    <row r="44" spans="1:7" ht="13.5" thickBot="1" x14ac:dyDescent="0.25">
      <c r="A44" s="53"/>
      <c r="B44" s="53"/>
      <c r="C44" s="53"/>
      <c r="D44" s="54"/>
    </row>
    <row r="45" spans="1:7" s="21" customFormat="1" ht="20.25" customHeight="1" thickBot="1" x14ac:dyDescent="0.25">
      <c r="A45" s="558" t="s">
        <v>109</v>
      </c>
      <c r="B45" s="559" t="s">
        <v>11</v>
      </c>
      <c r="C45" s="805" t="s">
        <v>12</v>
      </c>
      <c r="D45" s="809" t="s">
        <v>384</v>
      </c>
      <c r="E45" s="24"/>
    </row>
    <row r="46" spans="1:7" ht="42" customHeight="1" x14ac:dyDescent="0.2">
      <c r="A46" s="491" t="s">
        <v>26</v>
      </c>
      <c r="B46" s="803" t="s">
        <v>1178</v>
      </c>
      <c r="C46" s="666" t="s">
        <v>1179</v>
      </c>
      <c r="D46" s="63"/>
      <c r="E46" s="807"/>
      <c r="F46" s="807"/>
      <c r="G46" s="4"/>
    </row>
    <row r="47" spans="1:7" ht="42" customHeight="1" x14ac:dyDescent="0.2">
      <c r="A47" s="492" t="s">
        <v>286</v>
      </c>
      <c r="B47" s="664" t="s">
        <v>1180</v>
      </c>
      <c r="C47" s="664" t="s">
        <v>1181</v>
      </c>
      <c r="D47" s="64"/>
      <c r="E47" s="807"/>
      <c r="F47" s="807"/>
    </row>
    <row r="48" spans="1:7" ht="42" customHeight="1" thickBot="1" x14ac:dyDescent="0.25">
      <c r="A48" s="492" t="s">
        <v>287</v>
      </c>
      <c r="B48" s="665" t="s">
        <v>1570</v>
      </c>
      <c r="C48" s="804" t="s">
        <v>1571</v>
      </c>
      <c r="D48" s="806"/>
      <c r="E48" s="808"/>
      <c r="F48" s="808"/>
    </row>
  </sheetData>
  <sheetProtection formatRows="0"/>
  <mergeCells count="46">
    <mergeCell ref="B40:D40"/>
    <mergeCell ref="B29:D29"/>
    <mergeCell ref="B34:D34"/>
    <mergeCell ref="B35:D35"/>
    <mergeCell ref="B38:D38"/>
    <mergeCell ref="B39:D39"/>
    <mergeCell ref="B13:D13"/>
    <mergeCell ref="B14:D14"/>
    <mergeCell ref="B15:D15"/>
    <mergeCell ref="B5:D5"/>
    <mergeCell ref="B6:D6"/>
    <mergeCell ref="B7:D7"/>
    <mergeCell ref="B8:D8"/>
    <mergeCell ref="B9:D9"/>
    <mergeCell ref="A1:D1"/>
    <mergeCell ref="A30:A35"/>
    <mergeCell ref="B30:D30"/>
    <mergeCell ref="B16:D16"/>
    <mergeCell ref="B17:D17"/>
    <mergeCell ref="B25:D25"/>
    <mergeCell ref="B4:D4"/>
    <mergeCell ref="B11:D11"/>
    <mergeCell ref="A3:D3"/>
    <mergeCell ref="A4:A16"/>
    <mergeCell ref="B18:D18"/>
    <mergeCell ref="B19:D19"/>
    <mergeCell ref="B20:D20"/>
    <mergeCell ref="B21:D21"/>
    <mergeCell ref="B10:D10"/>
    <mergeCell ref="B12:D12"/>
    <mergeCell ref="A17:A29"/>
    <mergeCell ref="B36:D36"/>
    <mergeCell ref="A36:A43"/>
    <mergeCell ref="B42:D42"/>
    <mergeCell ref="B43:D43"/>
    <mergeCell ref="B22:D22"/>
    <mergeCell ref="B23:D23"/>
    <mergeCell ref="B24:D24"/>
    <mergeCell ref="B31:D31"/>
    <mergeCell ref="B32:D32"/>
    <mergeCell ref="B33:D33"/>
    <mergeCell ref="B37:D37"/>
    <mergeCell ref="B26:D26"/>
    <mergeCell ref="B27:D27"/>
    <mergeCell ref="B41:D41"/>
    <mergeCell ref="B28:D28"/>
  </mergeCells>
  <phoneticPr fontId="0" type="noConversion"/>
  <pageMargins left="0.39370078740157483" right="0.39370078740157483" top="1.2598425196850394" bottom="0.55118110236220474" header="0.70866141732283472" footer="0.27559055118110237"/>
  <pageSetup scale="79" fitToHeight="2" orientation="portrait" r:id="rId1"/>
  <headerFooter alignWithMargins="0">
    <oddHeader>&amp;L&amp;"Arial Narrow,Negrita Cursiva"Gobierno Autónomo Departamental de La Paz&amp;C&amp;"Arial,Negrita"&amp;12
FORMULARIO Nº 1
ANÁLISIS DE FACTORES INTERNOS Y EXTERNOS&amp;R&amp;"Arial Narrow,Negrita Cursiva"Plan Operativo Anual  2021</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I34"/>
  <sheetViews>
    <sheetView zoomScale="120" zoomScaleNormal="120" workbookViewId="0">
      <selection activeCell="C11" sqref="C11"/>
    </sheetView>
  </sheetViews>
  <sheetFormatPr baseColWidth="10" defaultRowHeight="12.75" x14ac:dyDescent="0.2"/>
  <cols>
    <col min="1" max="1" width="42.140625" style="26" customWidth="1"/>
    <col min="2" max="2" width="19.140625" style="26" customWidth="1"/>
    <col min="3" max="3" width="17.140625" style="26" bestFit="1" customWidth="1"/>
    <col min="4" max="4" width="20.85546875" style="26" customWidth="1"/>
    <col min="5" max="5" width="12" style="18" customWidth="1"/>
    <col min="6" max="6" width="19.28515625" style="26" customWidth="1"/>
    <col min="7" max="7" width="18" style="26" customWidth="1"/>
    <col min="8" max="16384" width="11.42578125" style="26"/>
  </cols>
  <sheetData>
    <row r="1" spans="1:9" ht="18" x14ac:dyDescent="0.2">
      <c r="A1" s="1569" t="str">
        <f>'FORM-1'!A1:D1</f>
        <v>SECRETARÍA O SERVICIO DEPARTAMENTAL DE GESTION SOCIAL</v>
      </c>
      <c r="B1" s="1569"/>
      <c r="C1" s="1569"/>
      <c r="D1" s="1569"/>
      <c r="E1" s="1569"/>
      <c r="F1" s="1569"/>
      <c r="G1" s="1569"/>
    </row>
    <row r="2" spans="1:9" ht="12.75" customHeight="1" thickBot="1" x14ac:dyDescent="0.25">
      <c r="A2" s="67"/>
      <c r="B2" s="79"/>
      <c r="C2" s="79"/>
      <c r="D2" s="79"/>
      <c r="E2" s="471"/>
      <c r="F2" s="472"/>
      <c r="G2" s="473" t="str">
        <f>'FORM-1'!D2</f>
        <v>Fecha: 05/08/2020</v>
      </c>
    </row>
    <row r="3" spans="1:9" ht="18.75" thickBot="1" x14ac:dyDescent="0.25">
      <c r="A3" s="1873" t="s">
        <v>348</v>
      </c>
      <c r="B3" s="1874"/>
      <c r="C3" s="1874"/>
      <c r="D3" s="1874"/>
      <c r="E3" s="1874"/>
      <c r="F3" s="1874"/>
      <c r="G3" s="1875"/>
    </row>
    <row r="4" spans="1:9" ht="7.5" customHeight="1" x14ac:dyDescent="0.2">
      <c r="A4" s="1876"/>
      <c r="B4" s="1876"/>
      <c r="C4" s="1876"/>
      <c r="D4" s="1876"/>
      <c r="E4" s="1876"/>
      <c r="F4" s="1876"/>
      <c r="G4" s="79"/>
    </row>
    <row r="5" spans="1:9" ht="17.25" customHeight="1" x14ac:dyDescent="0.2">
      <c r="A5" s="1877" t="s">
        <v>342</v>
      </c>
      <c r="B5" s="1877"/>
      <c r="C5" s="1877"/>
      <c r="D5" s="1877"/>
      <c r="E5" s="1877"/>
      <c r="F5" s="1877"/>
      <c r="G5" s="79"/>
    </row>
    <row r="6" spans="1:9" ht="38.25" customHeight="1" x14ac:dyDescent="0.2">
      <c r="A6" s="578" t="s">
        <v>297</v>
      </c>
      <c r="B6" s="578" t="s">
        <v>349</v>
      </c>
      <c r="C6" s="578" t="s">
        <v>343</v>
      </c>
      <c r="D6" s="578" t="s">
        <v>350</v>
      </c>
      <c r="E6" s="578" t="s">
        <v>298</v>
      </c>
      <c r="F6" s="579" t="s">
        <v>351</v>
      </c>
      <c r="G6" s="578" t="s">
        <v>352</v>
      </c>
    </row>
    <row r="7" spans="1:9" x14ac:dyDescent="0.2">
      <c r="A7" s="78"/>
      <c r="B7" s="531"/>
      <c r="C7" s="474"/>
      <c r="D7" s="474"/>
      <c r="E7" s="461"/>
      <c r="F7" s="474"/>
      <c r="G7" s="474"/>
      <c r="I7" s="50"/>
    </row>
    <row r="8" spans="1:9" x14ac:dyDescent="0.2">
      <c r="A8" s="78"/>
      <c r="B8" s="531"/>
      <c r="C8" s="474"/>
      <c r="D8" s="474"/>
      <c r="E8" s="461"/>
      <c r="F8" s="474"/>
      <c r="G8" s="474"/>
      <c r="I8" s="50"/>
    </row>
    <row r="9" spans="1:9" x14ac:dyDescent="0.2">
      <c r="A9" s="78"/>
      <c r="B9" s="532"/>
      <c r="C9" s="475"/>
      <c r="D9" s="475"/>
      <c r="E9" s="461"/>
      <c r="F9" s="475"/>
      <c r="G9" s="474"/>
      <c r="I9" s="51"/>
    </row>
    <row r="10" spans="1:9" ht="15.75" customHeight="1" x14ac:dyDescent="0.2">
      <c r="A10" s="78"/>
      <c r="B10" s="532"/>
      <c r="C10" s="475"/>
      <c r="D10" s="475"/>
      <c r="E10" s="56"/>
      <c r="F10" s="475"/>
      <c r="G10" s="474"/>
      <c r="I10" s="51"/>
    </row>
    <row r="11" spans="1:9" ht="15.75" customHeight="1" x14ac:dyDescent="0.2">
      <c r="A11" s="78"/>
      <c r="B11" s="532"/>
      <c r="C11" s="475"/>
      <c r="D11" s="475"/>
      <c r="E11" s="56"/>
      <c r="F11" s="475"/>
      <c r="G11" s="474"/>
      <c r="I11" s="51"/>
    </row>
    <row r="12" spans="1:9" ht="15.75" customHeight="1" x14ac:dyDescent="0.2">
      <c r="A12" s="78"/>
      <c r="B12" s="532"/>
      <c r="C12" s="475"/>
      <c r="D12" s="475"/>
      <c r="E12" s="56"/>
      <c r="F12" s="475"/>
      <c r="G12" s="474"/>
      <c r="I12" s="51"/>
    </row>
    <row r="13" spans="1:9" ht="15.75" customHeight="1" x14ac:dyDescent="0.2">
      <c r="A13" s="476"/>
      <c r="B13" s="532"/>
      <c r="C13" s="475"/>
      <c r="D13" s="475"/>
      <c r="E13" s="56"/>
      <c r="F13" s="475"/>
      <c r="G13" s="474"/>
      <c r="I13" s="51"/>
    </row>
    <row r="14" spans="1:9" ht="15.75" customHeight="1" x14ac:dyDescent="0.2">
      <c r="A14" s="482" t="s">
        <v>285</v>
      </c>
      <c r="B14" s="533">
        <f>SUM(B8:B13)</f>
        <v>0</v>
      </c>
      <c r="C14" s="483"/>
      <c r="D14" s="483"/>
      <c r="E14" s="484"/>
      <c r="F14" s="483"/>
      <c r="G14" s="483"/>
      <c r="I14" s="1871"/>
    </row>
    <row r="15" spans="1:9" x14ac:dyDescent="0.2">
      <c r="A15" s="79"/>
      <c r="B15" s="79"/>
      <c r="C15" s="79"/>
      <c r="D15" s="79"/>
      <c r="E15" s="471"/>
      <c r="F15" s="79"/>
      <c r="G15" s="79"/>
      <c r="I15" s="1871"/>
    </row>
    <row r="16" spans="1:9" ht="17.25" customHeight="1" x14ac:dyDescent="0.2">
      <c r="A16" s="1877" t="s">
        <v>344</v>
      </c>
      <c r="B16" s="1877"/>
      <c r="C16" s="1877"/>
      <c r="D16" s="1877"/>
      <c r="E16" s="1877"/>
      <c r="F16" s="1877"/>
      <c r="G16" s="79"/>
      <c r="I16" s="1871"/>
    </row>
    <row r="17" spans="1:9" ht="42.75" customHeight="1" x14ac:dyDescent="0.2">
      <c r="A17" s="578" t="s">
        <v>345</v>
      </c>
      <c r="B17" s="578" t="s">
        <v>218</v>
      </c>
      <c r="C17" s="578" t="s">
        <v>346</v>
      </c>
      <c r="D17" s="578" t="s">
        <v>353</v>
      </c>
      <c r="E17" s="578" t="s">
        <v>298</v>
      </c>
      <c r="F17" s="579" t="s">
        <v>351</v>
      </c>
      <c r="G17" s="578" t="s">
        <v>352</v>
      </c>
      <c r="I17" s="51"/>
    </row>
    <row r="18" spans="1:9" ht="15" customHeight="1" x14ac:dyDescent="0.2">
      <c r="A18" s="476"/>
      <c r="B18" s="532"/>
      <c r="C18" s="475"/>
      <c r="D18" s="475"/>
      <c r="E18" s="56"/>
      <c r="F18" s="56"/>
      <c r="G18" s="475"/>
    </row>
    <row r="19" spans="1:9" ht="15" customHeight="1" x14ac:dyDescent="0.2">
      <c r="A19" s="474"/>
      <c r="B19" s="477"/>
      <c r="C19" s="474"/>
      <c r="D19" s="474"/>
      <c r="E19" s="461"/>
      <c r="F19" s="461"/>
      <c r="G19" s="474"/>
    </row>
    <row r="20" spans="1:9" ht="15" customHeight="1" x14ac:dyDescent="0.2">
      <c r="A20" s="474"/>
      <c r="B20" s="477"/>
      <c r="C20" s="474"/>
      <c r="D20" s="474"/>
      <c r="E20" s="461"/>
      <c r="F20" s="461"/>
      <c r="G20" s="474"/>
    </row>
    <row r="21" spans="1:9" ht="15" customHeight="1" x14ac:dyDescent="0.2">
      <c r="A21" s="474"/>
      <c r="B21" s="477"/>
      <c r="C21" s="474"/>
      <c r="D21" s="474"/>
      <c r="E21" s="461"/>
      <c r="F21" s="461"/>
      <c r="G21" s="474"/>
    </row>
    <row r="22" spans="1:9" ht="15" customHeight="1" x14ac:dyDescent="0.2">
      <c r="A22" s="478" t="s">
        <v>285</v>
      </c>
      <c r="B22" s="581">
        <f>SUM(B18:B21)</f>
        <v>0</v>
      </c>
      <c r="C22" s="474"/>
      <c r="D22" s="474"/>
      <c r="E22" s="461"/>
      <c r="F22" s="461"/>
      <c r="G22" s="474"/>
    </row>
    <row r="23" spans="1:9" x14ac:dyDescent="0.2">
      <c r="A23" s="479"/>
      <c r="B23" s="480"/>
      <c r="C23" s="480"/>
      <c r="D23" s="480"/>
      <c r="E23" s="481"/>
      <c r="F23" s="480"/>
      <c r="G23" s="79"/>
    </row>
    <row r="24" spans="1:9" ht="19.5" customHeight="1" x14ac:dyDescent="0.2">
      <c r="A24" s="1867" t="s">
        <v>347</v>
      </c>
      <c r="B24" s="1867"/>
      <c r="C24" s="1867"/>
      <c r="D24" s="1867"/>
      <c r="E24" s="1867"/>
      <c r="F24" s="1867"/>
      <c r="G24" s="79"/>
    </row>
    <row r="25" spans="1:9" ht="44.25" customHeight="1" x14ac:dyDescent="0.2">
      <c r="A25" s="578" t="s">
        <v>345</v>
      </c>
      <c r="B25" s="578" t="s">
        <v>218</v>
      </c>
      <c r="C25" s="578" t="s">
        <v>346</v>
      </c>
      <c r="D25" s="578" t="s">
        <v>353</v>
      </c>
      <c r="E25" s="578" t="s">
        <v>298</v>
      </c>
      <c r="F25" s="578" t="s">
        <v>351</v>
      </c>
      <c r="G25" s="578" t="s">
        <v>352</v>
      </c>
    </row>
    <row r="26" spans="1:9" ht="16.5" customHeight="1" x14ac:dyDescent="0.2">
      <c r="A26" s="474"/>
      <c r="B26" s="477"/>
      <c r="C26" s="474"/>
      <c r="D26" s="474"/>
      <c r="E26" s="461"/>
      <c r="F26" s="461"/>
      <c r="G26" s="474"/>
    </row>
    <row r="27" spans="1:9" ht="16.5" customHeight="1" x14ac:dyDescent="0.2">
      <c r="A27" s="474"/>
      <c r="B27" s="477"/>
      <c r="C27" s="474"/>
      <c r="D27" s="474"/>
      <c r="E27" s="461"/>
      <c r="F27" s="461"/>
      <c r="G27" s="474"/>
    </row>
    <row r="28" spans="1:9" ht="16.5" customHeight="1" x14ac:dyDescent="0.2">
      <c r="A28" s="474"/>
      <c r="B28" s="477"/>
      <c r="C28" s="474"/>
      <c r="D28" s="474"/>
      <c r="E28" s="461"/>
      <c r="F28" s="461"/>
      <c r="G28" s="474"/>
    </row>
    <row r="29" spans="1:9" ht="16.5" customHeight="1" x14ac:dyDescent="0.2">
      <c r="A29" s="478" t="s">
        <v>299</v>
      </c>
      <c r="B29" s="581">
        <f>SUM(B26:B28)</f>
        <v>0</v>
      </c>
      <c r="C29" s="474"/>
      <c r="D29" s="474"/>
      <c r="E29" s="461"/>
      <c r="F29" s="461"/>
      <c r="G29" s="474"/>
    </row>
    <row r="30" spans="1:9" ht="13.5" thickBot="1" x14ac:dyDescent="0.25">
      <c r="A30" s="79"/>
      <c r="B30" s="79"/>
      <c r="C30" s="79"/>
      <c r="D30" s="79"/>
      <c r="E30" s="471"/>
      <c r="F30" s="79"/>
      <c r="G30" s="79"/>
    </row>
    <row r="31" spans="1:9" ht="21.75" customHeight="1" thickBot="1" x14ac:dyDescent="0.25">
      <c r="A31" s="580" t="s">
        <v>91</v>
      </c>
      <c r="B31" s="1857" t="s">
        <v>11</v>
      </c>
      <c r="C31" s="1857"/>
      <c r="D31" s="1857" t="s">
        <v>12</v>
      </c>
      <c r="E31" s="1857"/>
      <c r="F31" s="1857" t="s">
        <v>384</v>
      </c>
      <c r="G31" s="1872"/>
    </row>
    <row r="32" spans="1:9" ht="27" customHeight="1" x14ac:dyDescent="0.2">
      <c r="A32" s="469" t="s">
        <v>29</v>
      </c>
      <c r="B32" s="1858"/>
      <c r="C32" s="1858"/>
      <c r="D32" s="1861"/>
      <c r="E32" s="1861"/>
      <c r="F32" s="1862"/>
      <c r="G32" s="1863"/>
    </row>
    <row r="33" spans="1:7" ht="27" customHeight="1" x14ac:dyDescent="0.2">
      <c r="A33" s="470" t="s">
        <v>291</v>
      </c>
      <c r="B33" s="1859"/>
      <c r="C33" s="1859"/>
      <c r="D33" s="1868"/>
      <c r="E33" s="1868"/>
      <c r="F33" s="1869"/>
      <c r="G33" s="1870"/>
    </row>
    <row r="34" spans="1:7" ht="27" customHeight="1" thickBot="1" x14ac:dyDescent="0.25">
      <c r="A34" s="81" t="s">
        <v>289</v>
      </c>
      <c r="B34" s="1860"/>
      <c r="C34" s="1860"/>
      <c r="D34" s="1864"/>
      <c r="E34" s="1864"/>
      <c r="F34" s="1865"/>
      <c r="G34" s="1866"/>
    </row>
  </sheetData>
  <mergeCells count="19">
    <mergeCell ref="I14:I16"/>
    <mergeCell ref="D31:E31"/>
    <mergeCell ref="F31:G31"/>
    <mergeCell ref="A3:G3"/>
    <mergeCell ref="A4:F4"/>
    <mergeCell ref="A5:F5"/>
    <mergeCell ref="A16:F16"/>
    <mergeCell ref="A1:G1"/>
    <mergeCell ref="B31:C31"/>
    <mergeCell ref="B32:C32"/>
    <mergeCell ref="B33:C33"/>
    <mergeCell ref="B34:C34"/>
    <mergeCell ref="D32:E32"/>
    <mergeCell ref="F32:G32"/>
    <mergeCell ref="D34:E34"/>
    <mergeCell ref="F34:G34"/>
    <mergeCell ref="A24:F24"/>
    <mergeCell ref="D33:E33"/>
    <mergeCell ref="F33:G33"/>
  </mergeCells>
  <phoneticPr fontId="25" type="noConversion"/>
  <pageMargins left="1.0236220472440944" right="0.39370078740157483" top="0.74803149606299213" bottom="0.47244094488188981" header="0.55118110236220474" footer="0.23622047244094491"/>
  <pageSetup scale="80" fitToHeight="2" orientation="landscape" r:id="rId1"/>
  <headerFooter>
    <oddHeader>&amp;L&amp;"Arial Narrow,Negrita Cursiva"Gobierno Autónomo Departamental de La Paz&amp;R&amp;"Arial,Negrita Cursiva"Plan Operativo Anual 2020</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L35"/>
  <sheetViews>
    <sheetView view="pageBreakPreview" topLeftCell="A12" zoomScaleNormal="80" zoomScaleSheetLayoutView="100" zoomScalePageLayoutView="85" workbookViewId="0">
      <selection activeCell="F12" sqref="F12"/>
    </sheetView>
  </sheetViews>
  <sheetFormatPr baseColWidth="10" defaultRowHeight="12.75" x14ac:dyDescent="0.2"/>
  <cols>
    <col min="1" max="1" width="5.7109375" style="46" customWidth="1"/>
    <col min="2" max="2" width="28.7109375" style="489" customWidth="1"/>
    <col min="3" max="3" width="6.140625" style="2" customWidth="1"/>
    <col min="4" max="4" width="9.7109375" style="2" customWidth="1"/>
    <col min="5" max="5" width="33.42578125" style="2" customWidth="1"/>
    <col min="6" max="6" width="18.28515625" style="2" customWidth="1"/>
    <col min="7" max="7" width="21.28515625" style="2" customWidth="1"/>
    <col min="8" max="8" width="21.85546875" style="2" customWidth="1"/>
    <col min="9" max="9" width="6.140625" style="2" customWidth="1"/>
    <col min="10" max="10" width="6.140625" style="542" customWidth="1"/>
    <col min="11" max="11" width="18.7109375" style="546" customWidth="1"/>
    <col min="12" max="14" width="0" style="2" hidden="1" customWidth="1"/>
    <col min="15" max="16384" width="11.42578125" style="2"/>
  </cols>
  <sheetData>
    <row r="1" spans="1:12" ht="27" customHeight="1" x14ac:dyDescent="0.2">
      <c r="A1" s="1535" t="str">
        <f>+'FORM-1'!A1</f>
        <v>SECRETARÍA O SERVICIO DEPARTAMENTAL DE GESTION SOCIAL</v>
      </c>
      <c r="B1" s="1535"/>
      <c r="C1" s="1535"/>
      <c r="D1" s="1535"/>
      <c r="E1" s="1535"/>
      <c r="F1" s="1535"/>
      <c r="G1" s="1535"/>
      <c r="H1" s="1535"/>
      <c r="I1" s="1535"/>
      <c r="J1" s="1535"/>
      <c r="K1" s="1535"/>
    </row>
    <row r="2" spans="1:12" ht="13.5" thickBot="1" x14ac:dyDescent="0.25">
      <c r="A2" s="62"/>
      <c r="B2" s="485"/>
      <c r="C2" s="55"/>
      <c r="D2" s="55"/>
      <c r="E2" s="55"/>
      <c r="F2" s="55"/>
      <c r="G2" s="55"/>
      <c r="H2" s="55"/>
      <c r="I2" s="55"/>
      <c r="J2" s="55"/>
      <c r="K2" s="602" t="str">
        <f>'FORM-1'!D2</f>
        <v>Fecha: 05/08/2020</v>
      </c>
    </row>
    <row r="3" spans="1:12" ht="27" customHeight="1" thickBot="1" x14ac:dyDescent="0.25">
      <c r="A3" s="557" t="s">
        <v>465</v>
      </c>
      <c r="B3" s="1536" t="s">
        <v>463</v>
      </c>
      <c r="C3" s="1537"/>
      <c r="D3" s="1537"/>
      <c r="E3" s="1537"/>
      <c r="F3" s="1537"/>
      <c r="G3" s="1537"/>
      <c r="H3" s="1537"/>
      <c r="I3" s="1537"/>
      <c r="J3" s="1537"/>
      <c r="K3" s="1538"/>
    </row>
    <row r="4" spans="1:12" ht="33.75" customHeight="1" x14ac:dyDescent="0.2">
      <c r="A4" s="494" t="s">
        <v>418</v>
      </c>
      <c r="B4" s="1529" t="s">
        <v>416</v>
      </c>
      <c r="C4" s="1530"/>
      <c r="D4" s="1530"/>
      <c r="E4" s="1530"/>
      <c r="F4" s="1530"/>
      <c r="G4" s="1530"/>
      <c r="H4" s="1530"/>
      <c r="I4" s="1530"/>
      <c r="J4" s="1530"/>
      <c r="K4" s="1531"/>
    </row>
    <row r="5" spans="1:12" ht="33.75" customHeight="1" x14ac:dyDescent="0.2">
      <c r="A5" s="494" t="s">
        <v>430</v>
      </c>
      <c r="B5" s="1529" t="s">
        <v>417</v>
      </c>
      <c r="C5" s="1530"/>
      <c r="D5" s="1530"/>
      <c r="E5" s="1530"/>
      <c r="F5" s="1530"/>
      <c r="G5" s="1530"/>
      <c r="H5" s="1530"/>
      <c r="I5" s="1530"/>
      <c r="J5" s="1530"/>
      <c r="K5" s="1531"/>
    </row>
    <row r="6" spans="1:12" s="3" customFormat="1" ht="7.5" customHeight="1" thickBot="1" x14ac:dyDescent="0.2">
      <c r="A6" s="66"/>
      <c r="B6" s="1539"/>
      <c r="C6" s="1539"/>
      <c r="D6" s="1539"/>
      <c r="E6" s="1539"/>
      <c r="F6" s="1539"/>
      <c r="G6" s="1539"/>
      <c r="H6" s="1539"/>
      <c r="I6" s="1539"/>
      <c r="J6" s="1539"/>
      <c r="K6" s="1539"/>
    </row>
    <row r="7" spans="1:12" ht="13.5" thickBot="1" x14ac:dyDescent="0.25">
      <c r="A7" s="1532" t="s">
        <v>456</v>
      </c>
      <c r="B7" s="1533"/>
      <c r="C7" s="1533"/>
      <c r="D7" s="1533"/>
      <c r="E7" s="1533"/>
      <c r="F7" s="1533"/>
      <c r="G7" s="1533"/>
      <c r="H7" s="1533"/>
      <c r="I7" s="1533"/>
      <c r="J7" s="1533"/>
      <c r="K7" s="1534"/>
    </row>
    <row r="8" spans="1:12" ht="62.25" customHeight="1" thickBot="1" x14ac:dyDescent="0.25">
      <c r="A8" s="1107" t="s">
        <v>466</v>
      </c>
      <c r="B8" s="1108" t="s">
        <v>464</v>
      </c>
      <c r="C8" s="1108" t="s">
        <v>457</v>
      </c>
      <c r="D8" s="1107" t="s">
        <v>379</v>
      </c>
      <c r="E8" s="1108" t="s">
        <v>451</v>
      </c>
      <c r="F8" s="1272" t="s">
        <v>452</v>
      </c>
      <c r="G8" s="1108" t="s">
        <v>2020</v>
      </c>
      <c r="H8" s="1273" t="s">
        <v>470</v>
      </c>
      <c r="I8" s="1110" t="s">
        <v>381</v>
      </c>
      <c r="J8" s="1110" t="s">
        <v>380</v>
      </c>
      <c r="K8" s="1109" t="s">
        <v>377</v>
      </c>
    </row>
    <row r="9" spans="1:12" ht="98.25" customHeight="1" x14ac:dyDescent="0.2">
      <c r="A9" s="1399" t="s">
        <v>419</v>
      </c>
      <c r="B9" s="1400" t="s">
        <v>423</v>
      </c>
      <c r="C9" s="1401">
        <v>10</v>
      </c>
      <c r="D9" s="1402" t="s">
        <v>437</v>
      </c>
      <c r="E9" s="1403" t="s">
        <v>1863</v>
      </c>
      <c r="F9" s="1404" t="s">
        <v>2026</v>
      </c>
      <c r="G9" s="1404" t="s">
        <v>1563</v>
      </c>
      <c r="H9" s="1404" t="s">
        <v>1870</v>
      </c>
      <c r="I9" s="1405">
        <v>10</v>
      </c>
      <c r="J9" s="1406">
        <v>42</v>
      </c>
      <c r="K9" s="1407" t="s">
        <v>459</v>
      </c>
    </row>
    <row r="10" spans="1:12" ht="84.75" customHeight="1" x14ac:dyDescent="0.2">
      <c r="A10" s="1408" t="s">
        <v>429</v>
      </c>
      <c r="B10" s="1390" t="s">
        <v>1574</v>
      </c>
      <c r="C10" s="1391">
        <v>10</v>
      </c>
      <c r="D10" s="1392" t="s">
        <v>438</v>
      </c>
      <c r="E10" s="1393" t="s">
        <v>1137</v>
      </c>
      <c r="F10" s="1393" t="s">
        <v>1862</v>
      </c>
      <c r="G10" s="1393" t="s">
        <v>532</v>
      </c>
      <c r="H10" s="1393" t="s">
        <v>1562</v>
      </c>
      <c r="I10" s="1394">
        <v>10</v>
      </c>
      <c r="J10" s="1395">
        <v>42</v>
      </c>
      <c r="K10" s="1409" t="s">
        <v>459</v>
      </c>
    </row>
    <row r="11" spans="1:12" ht="233.25" customHeight="1" x14ac:dyDescent="0.2">
      <c r="A11" s="1408" t="s">
        <v>431</v>
      </c>
      <c r="B11" s="1390" t="s">
        <v>424</v>
      </c>
      <c r="C11" s="1391">
        <v>10</v>
      </c>
      <c r="D11" s="1392" t="s">
        <v>439</v>
      </c>
      <c r="E11" s="1396" t="s">
        <v>1580</v>
      </c>
      <c r="F11" s="1396" t="s">
        <v>525</v>
      </c>
      <c r="G11" s="1396" t="s">
        <v>2021</v>
      </c>
      <c r="H11" s="1396" t="s">
        <v>1580</v>
      </c>
      <c r="I11" s="1394">
        <v>10</v>
      </c>
      <c r="J11" s="1395">
        <v>42</v>
      </c>
      <c r="K11" s="1409" t="s">
        <v>459</v>
      </c>
    </row>
    <row r="12" spans="1:12" ht="183.75" customHeight="1" x14ac:dyDescent="0.2">
      <c r="A12" s="1499" t="s">
        <v>432</v>
      </c>
      <c r="B12" s="1515" t="s">
        <v>1572</v>
      </c>
      <c r="C12" s="1518">
        <v>60</v>
      </c>
      <c r="D12" s="1392" t="s">
        <v>441</v>
      </c>
      <c r="E12" s="1396" t="s">
        <v>2022</v>
      </c>
      <c r="F12" s="1396" t="s">
        <v>525</v>
      </c>
      <c r="G12" s="1396" t="s">
        <v>2023</v>
      </c>
      <c r="H12" s="1396" t="s">
        <v>2024</v>
      </c>
      <c r="I12" s="1394">
        <v>10</v>
      </c>
      <c r="J12" s="1517">
        <v>25</v>
      </c>
      <c r="K12" s="1516" t="s">
        <v>462</v>
      </c>
      <c r="L12" s="607" t="s">
        <v>533</v>
      </c>
    </row>
    <row r="13" spans="1:12" ht="102" customHeight="1" x14ac:dyDescent="0.2">
      <c r="A13" s="1499"/>
      <c r="B13" s="1515"/>
      <c r="C13" s="1518"/>
      <c r="D13" s="1392" t="s">
        <v>442</v>
      </c>
      <c r="E13" s="1396" t="s">
        <v>1176</v>
      </c>
      <c r="F13" s="1396" t="s">
        <v>526</v>
      </c>
      <c r="G13" s="1396" t="s">
        <v>527</v>
      </c>
      <c r="H13" s="1396" t="s">
        <v>1575</v>
      </c>
      <c r="I13" s="1394">
        <v>10</v>
      </c>
      <c r="J13" s="1517"/>
      <c r="K13" s="1516"/>
    </row>
    <row r="14" spans="1:12" ht="142.5" customHeight="1" x14ac:dyDescent="0.2">
      <c r="A14" s="1499"/>
      <c r="B14" s="1515"/>
      <c r="C14" s="1518"/>
      <c r="D14" s="1392" t="s">
        <v>1576</v>
      </c>
      <c r="E14" s="1393" t="s">
        <v>1869</v>
      </c>
      <c r="F14" s="1393" t="s">
        <v>528</v>
      </c>
      <c r="G14" s="1393" t="s">
        <v>529</v>
      </c>
      <c r="H14" s="1393" t="s">
        <v>1557</v>
      </c>
      <c r="I14" s="1394">
        <v>10</v>
      </c>
      <c r="J14" s="1517"/>
      <c r="K14" s="1516"/>
    </row>
    <row r="15" spans="1:12" ht="120.75" customHeight="1" x14ac:dyDescent="0.2">
      <c r="A15" s="1499"/>
      <c r="B15" s="1515"/>
      <c r="C15" s="1518"/>
      <c r="D15" s="1392" t="s">
        <v>1577</v>
      </c>
      <c r="E15" s="1393" t="s">
        <v>1864</v>
      </c>
      <c r="F15" s="1397" t="s">
        <v>530</v>
      </c>
      <c r="G15" s="1397" t="s">
        <v>1069</v>
      </c>
      <c r="H15" s="1397" t="s">
        <v>1558</v>
      </c>
      <c r="I15" s="1394">
        <v>10</v>
      </c>
      <c r="J15" s="1517"/>
      <c r="K15" s="1516"/>
    </row>
    <row r="16" spans="1:12" ht="103.5" customHeight="1" x14ac:dyDescent="0.2">
      <c r="A16" s="1499"/>
      <c r="B16" s="1515"/>
      <c r="C16" s="1518"/>
      <c r="D16" s="1392" t="s">
        <v>1578</v>
      </c>
      <c r="E16" s="1393" t="s">
        <v>1868</v>
      </c>
      <c r="F16" s="1393" t="s">
        <v>1559</v>
      </c>
      <c r="G16" s="1393" t="s">
        <v>531</v>
      </c>
      <c r="H16" s="1393" t="s">
        <v>1177</v>
      </c>
      <c r="I16" s="1394">
        <v>10</v>
      </c>
      <c r="J16" s="1517"/>
      <c r="K16" s="1516"/>
    </row>
    <row r="17" spans="1:11" ht="96.75" customHeight="1" x14ac:dyDescent="0.2">
      <c r="A17" s="1499"/>
      <c r="B17" s="1515"/>
      <c r="C17" s="1518"/>
      <c r="D17" s="1392" t="s">
        <v>1579</v>
      </c>
      <c r="E17" s="1393" t="s">
        <v>1175</v>
      </c>
      <c r="F17" s="1393" t="s">
        <v>1560</v>
      </c>
      <c r="G17" s="1398" t="s">
        <v>1174</v>
      </c>
      <c r="H17" s="1393" t="s">
        <v>1561</v>
      </c>
      <c r="I17" s="1394">
        <v>10</v>
      </c>
      <c r="J17" s="1517"/>
      <c r="K17" s="1516"/>
    </row>
    <row r="18" spans="1:11" ht="129" customHeight="1" thickBot="1" x14ac:dyDescent="0.25">
      <c r="A18" s="1410" t="s">
        <v>434</v>
      </c>
      <c r="B18" s="1411" t="s">
        <v>1573</v>
      </c>
      <c r="C18" s="1412">
        <v>10</v>
      </c>
      <c r="D18" s="1413" t="s">
        <v>445</v>
      </c>
      <c r="E18" s="1414" t="s">
        <v>1865</v>
      </c>
      <c r="F18" s="1414" t="s">
        <v>2025</v>
      </c>
      <c r="G18" s="1414" t="s">
        <v>1866</v>
      </c>
      <c r="H18" s="1414" t="s">
        <v>1867</v>
      </c>
      <c r="I18" s="1415">
        <v>10</v>
      </c>
      <c r="J18" s="1416">
        <v>42</v>
      </c>
      <c r="K18" s="1417" t="s">
        <v>459</v>
      </c>
    </row>
    <row r="19" spans="1:11" ht="11.25" hidden="1" customHeight="1" x14ac:dyDescent="0.2">
      <c r="A19" s="1509" t="s">
        <v>431</v>
      </c>
      <c r="B19" s="1510" t="s">
        <v>424</v>
      </c>
      <c r="C19" s="1511"/>
      <c r="D19" s="603" t="s">
        <v>439</v>
      </c>
      <c r="E19" s="605"/>
      <c r="F19" s="605"/>
      <c r="G19" s="605"/>
      <c r="H19" s="606"/>
      <c r="I19" s="604">
        <f>SUM(I12:I18)</f>
        <v>70</v>
      </c>
      <c r="J19" s="1519">
        <v>42</v>
      </c>
      <c r="K19" s="1520" t="s">
        <v>461</v>
      </c>
    </row>
    <row r="20" spans="1:11" ht="10.5" hidden="1" customHeight="1" x14ac:dyDescent="0.2">
      <c r="A20" s="1499"/>
      <c r="B20" s="1500"/>
      <c r="C20" s="1501"/>
      <c r="D20" s="552" t="s">
        <v>440</v>
      </c>
      <c r="E20" s="490"/>
      <c r="F20" s="490"/>
      <c r="G20" s="490"/>
      <c r="H20" s="496"/>
      <c r="I20" s="544"/>
      <c r="J20" s="1502"/>
      <c r="K20" s="1503"/>
    </row>
    <row r="21" spans="1:11" ht="11.25" hidden="1" customHeight="1" x14ac:dyDescent="0.2">
      <c r="A21" s="1499" t="s">
        <v>432</v>
      </c>
      <c r="B21" s="1500" t="s">
        <v>425</v>
      </c>
      <c r="C21" s="1501"/>
      <c r="D21" s="552" t="s">
        <v>441</v>
      </c>
      <c r="E21" s="490"/>
      <c r="F21" s="490"/>
      <c r="G21" s="490"/>
      <c r="H21" s="496"/>
      <c r="I21" s="544"/>
      <c r="J21" s="1502">
        <v>25</v>
      </c>
      <c r="K21" s="1503" t="s">
        <v>462</v>
      </c>
    </row>
    <row r="22" spans="1:11" ht="12" hidden="1" customHeight="1" x14ac:dyDescent="0.2">
      <c r="A22" s="1499"/>
      <c r="B22" s="1500"/>
      <c r="C22" s="1501"/>
      <c r="D22" s="552" t="s">
        <v>442</v>
      </c>
      <c r="E22" s="490"/>
      <c r="F22" s="490"/>
      <c r="G22" s="490"/>
      <c r="H22" s="496"/>
      <c r="I22" s="544"/>
      <c r="J22" s="1502"/>
      <c r="K22" s="1503"/>
    </row>
    <row r="23" spans="1:11" ht="13.5" hidden="1" customHeight="1" x14ac:dyDescent="0.2">
      <c r="A23" s="1499" t="s">
        <v>433</v>
      </c>
      <c r="B23" s="1521" t="s">
        <v>426</v>
      </c>
      <c r="C23" s="1501"/>
      <c r="D23" s="552" t="s">
        <v>443</v>
      </c>
      <c r="E23" s="490"/>
      <c r="F23" s="490"/>
      <c r="G23" s="490"/>
      <c r="H23" s="496"/>
      <c r="I23" s="544"/>
      <c r="J23" s="1502">
        <v>25</v>
      </c>
      <c r="K23" s="1503" t="s">
        <v>462</v>
      </c>
    </row>
    <row r="24" spans="1:11" ht="13.5" hidden="1" x14ac:dyDescent="0.2">
      <c r="A24" s="1499"/>
      <c r="B24" s="1522"/>
      <c r="C24" s="1501"/>
      <c r="D24" s="552" t="s">
        <v>444</v>
      </c>
      <c r="E24" s="490"/>
      <c r="F24" s="490"/>
      <c r="G24" s="490"/>
      <c r="H24" s="496"/>
      <c r="I24" s="544"/>
      <c r="J24" s="1502"/>
      <c r="K24" s="1503"/>
    </row>
    <row r="25" spans="1:11" ht="13.5" hidden="1" x14ac:dyDescent="0.2">
      <c r="A25" s="1499" t="s">
        <v>434</v>
      </c>
      <c r="B25" s="1500" t="s">
        <v>458</v>
      </c>
      <c r="C25" s="1501"/>
      <c r="D25" s="552" t="s">
        <v>445</v>
      </c>
      <c r="E25" s="490"/>
      <c r="F25" s="490"/>
      <c r="G25" s="549"/>
      <c r="H25" s="550"/>
      <c r="I25" s="551"/>
      <c r="J25" s="1502">
        <v>42</v>
      </c>
      <c r="K25" s="1503" t="s">
        <v>461</v>
      </c>
    </row>
    <row r="26" spans="1:11" ht="13.5" hidden="1" x14ac:dyDescent="0.2">
      <c r="A26" s="1499"/>
      <c r="B26" s="1500"/>
      <c r="C26" s="1501"/>
      <c r="D26" s="552" t="s">
        <v>446</v>
      </c>
      <c r="E26" s="490"/>
      <c r="F26" s="490"/>
      <c r="G26" s="549"/>
      <c r="H26" s="550"/>
      <c r="I26" s="551"/>
      <c r="J26" s="1502"/>
      <c r="K26" s="1503"/>
    </row>
    <row r="27" spans="1:11" ht="13.5" hidden="1" x14ac:dyDescent="0.2">
      <c r="A27" s="1499" t="s">
        <v>435</v>
      </c>
      <c r="B27" s="1500" t="s">
        <v>427</v>
      </c>
      <c r="C27" s="1501"/>
      <c r="D27" s="552" t="s">
        <v>447</v>
      </c>
      <c r="E27" s="490"/>
      <c r="F27" s="490"/>
      <c r="G27" s="549"/>
      <c r="H27" s="550"/>
      <c r="I27" s="551"/>
      <c r="J27" s="1502">
        <v>23</v>
      </c>
      <c r="K27" s="1503" t="s">
        <v>460</v>
      </c>
    </row>
    <row r="28" spans="1:11" ht="13.5" hidden="1" x14ac:dyDescent="0.2">
      <c r="A28" s="1499"/>
      <c r="B28" s="1500"/>
      <c r="C28" s="1501"/>
      <c r="D28" s="552" t="s">
        <v>448</v>
      </c>
      <c r="E28" s="490"/>
      <c r="F28" s="490"/>
      <c r="G28" s="549"/>
      <c r="H28" s="550"/>
      <c r="I28" s="551"/>
      <c r="J28" s="1502"/>
      <c r="K28" s="1503"/>
    </row>
    <row r="29" spans="1:11" ht="18" hidden="1" customHeight="1" x14ac:dyDescent="0.2">
      <c r="A29" s="1499" t="s">
        <v>436</v>
      </c>
      <c r="B29" s="1500" t="s">
        <v>428</v>
      </c>
      <c r="C29" s="1501"/>
      <c r="D29" s="552" t="s">
        <v>449</v>
      </c>
      <c r="E29" s="490"/>
      <c r="F29" s="490"/>
      <c r="G29" s="549"/>
      <c r="H29" s="550"/>
      <c r="I29" s="551"/>
      <c r="J29" s="1502">
        <v>23</v>
      </c>
      <c r="K29" s="1503" t="s">
        <v>460</v>
      </c>
    </row>
    <row r="30" spans="1:11" ht="20.25" hidden="1" customHeight="1" thickBot="1" x14ac:dyDescent="0.25">
      <c r="A30" s="1504"/>
      <c r="B30" s="1505"/>
      <c r="C30" s="1506"/>
      <c r="D30" s="556" t="s">
        <v>450</v>
      </c>
      <c r="E30" s="553"/>
      <c r="F30" s="553"/>
      <c r="G30" s="553"/>
      <c r="H30" s="554"/>
      <c r="I30" s="555"/>
      <c r="J30" s="1507"/>
      <c r="K30" s="1508"/>
    </row>
    <row r="31" spans="1:11" s="23" customFormat="1" ht="13.5" thickBot="1" x14ac:dyDescent="0.25">
      <c r="A31" s="1523" t="s">
        <v>96</v>
      </c>
      <c r="B31" s="1523"/>
      <c r="C31" s="1319">
        <f>SUM(C9:C18)</f>
        <v>100</v>
      </c>
      <c r="D31" s="495"/>
      <c r="E31" s="57"/>
      <c r="F31" s="58"/>
      <c r="G31" s="58"/>
      <c r="H31" s="58"/>
      <c r="I31" s="1319">
        <f>SUM(I9:I18)</f>
        <v>100</v>
      </c>
      <c r="J31" s="543"/>
      <c r="K31" s="545"/>
    </row>
    <row r="32" spans="1:11" s="21" customFormat="1" ht="39.75" customHeight="1" thickBot="1" x14ac:dyDescent="0.25">
      <c r="A32" s="1524" t="s">
        <v>109</v>
      </c>
      <c r="B32" s="1525"/>
      <c r="C32" s="1526" t="s">
        <v>11</v>
      </c>
      <c r="D32" s="1527"/>
      <c r="E32" s="1528"/>
      <c r="F32" s="1540" t="s">
        <v>12</v>
      </c>
      <c r="G32" s="1527"/>
      <c r="H32" s="1528"/>
      <c r="I32" s="1540" t="s">
        <v>384</v>
      </c>
      <c r="J32" s="1527"/>
      <c r="K32" s="1528"/>
    </row>
    <row r="33" spans="1:11" s="1" customFormat="1" ht="33.75" customHeight="1" thickBot="1" x14ac:dyDescent="0.25">
      <c r="A33" s="59" t="s">
        <v>26</v>
      </c>
      <c r="B33" s="486"/>
      <c r="C33" s="1512" t="s">
        <v>1178</v>
      </c>
      <c r="D33" s="1513"/>
      <c r="E33" s="1514"/>
      <c r="F33" s="1512" t="s">
        <v>1179</v>
      </c>
      <c r="G33" s="1513"/>
      <c r="H33" s="1514"/>
      <c r="I33" s="1541"/>
      <c r="J33" s="1542"/>
      <c r="K33" s="1543"/>
    </row>
    <row r="34" spans="1:11" ht="33.75" customHeight="1" thickBot="1" x14ac:dyDescent="0.25">
      <c r="A34" s="60" t="s">
        <v>286</v>
      </c>
      <c r="B34" s="487"/>
      <c r="C34" s="1512" t="s">
        <v>1180</v>
      </c>
      <c r="D34" s="1513"/>
      <c r="E34" s="1514"/>
      <c r="F34" s="1512" t="s">
        <v>1181</v>
      </c>
      <c r="G34" s="1513"/>
      <c r="H34" s="1514"/>
      <c r="I34" s="1544"/>
      <c r="J34" s="1545"/>
      <c r="K34" s="1546"/>
    </row>
    <row r="35" spans="1:11" ht="33.75" customHeight="1" thickBot="1" x14ac:dyDescent="0.25">
      <c r="A35" s="61" t="s">
        <v>287</v>
      </c>
      <c r="B35" s="488"/>
      <c r="C35" s="1512" t="s">
        <v>1570</v>
      </c>
      <c r="D35" s="1513"/>
      <c r="E35" s="1514"/>
      <c r="F35" s="1550" t="s">
        <v>1571</v>
      </c>
      <c r="G35" s="1551"/>
      <c r="H35" s="1552"/>
      <c r="I35" s="1547"/>
      <c r="J35" s="1548"/>
      <c r="K35" s="1549"/>
    </row>
  </sheetData>
  <sheetProtection formatRows="0"/>
  <mergeCells count="55">
    <mergeCell ref="F32:H32"/>
    <mergeCell ref="I32:K32"/>
    <mergeCell ref="I33:K33"/>
    <mergeCell ref="I34:K34"/>
    <mergeCell ref="I35:K35"/>
    <mergeCell ref="F33:H33"/>
    <mergeCell ref="F34:H34"/>
    <mergeCell ref="F35:H35"/>
    <mergeCell ref="B4:K4"/>
    <mergeCell ref="A7:K7"/>
    <mergeCell ref="A1:K1"/>
    <mergeCell ref="B3:K3"/>
    <mergeCell ref="B6:K6"/>
    <mergeCell ref="B5:K5"/>
    <mergeCell ref="A31:B31"/>
    <mergeCell ref="A32:B32"/>
    <mergeCell ref="C32:E32"/>
    <mergeCell ref="C33:E33"/>
    <mergeCell ref="C34:E34"/>
    <mergeCell ref="C35:E35"/>
    <mergeCell ref="A12:A17"/>
    <mergeCell ref="B12:B17"/>
    <mergeCell ref="K12:K17"/>
    <mergeCell ref="J12:J17"/>
    <mergeCell ref="C12:C17"/>
    <mergeCell ref="J19:J20"/>
    <mergeCell ref="K19:K20"/>
    <mergeCell ref="A23:A24"/>
    <mergeCell ref="B23:B24"/>
    <mergeCell ref="C23:C24"/>
    <mergeCell ref="J23:J24"/>
    <mergeCell ref="K23:K24"/>
    <mergeCell ref="K21:K22"/>
    <mergeCell ref="J21:J22"/>
    <mergeCell ref="A21:A22"/>
    <mergeCell ref="A19:A20"/>
    <mergeCell ref="B19:B20"/>
    <mergeCell ref="C19:C20"/>
    <mergeCell ref="B21:B22"/>
    <mergeCell ref="C21:C22"/>
    <mergeCell ref="A29:A30"/>
    <mergeCell ref="B29:B30"/>
    <mergeCell ref="C29:C30"/>
    <mergeCell ref="J29:J30"/>
    <mergeCell ref="K29:K30"/>
    <mergeCell ref="A25:A26"/>
    <mergeCell ref="B25:B26"/>
    <mergeCell ref="C25:C26"/>
    <mergeCell ref="J25:J26"/>
    <mergeCell ref="K25:K26"/>
    <mergeCell ref="A27:A28"/>
    <mergeCell ref="B27:B28"/>
    <mergeCell ref="C27:C28"/>
    <mergeCell ref="J27:J28"/>
    <mergeCell ref="K27:K28"/>
  </mergeCells>
  <pageMargins left="0.59055118110236227" right="0.43307086614173229" top="0.82677165354330717" bottom="0" header="0.31496062992125984" footer="0.31496062992125984"/>
  <pageSetup scale="70" fitToHeight="0" orientation="landscape" r:id="rId1"/>
  <headerFooter alignWithMargins="0">
    <oddHeader>&amp;L&amp;"Arial Narrow,Negrita Cursiva"                  Gobierno Autónomo Departamental de La Paz&amp;C&amp;"Arial,Negrita"&amp;12FORMULARIO Nº 2
PRODUCTOS DE LA GESTIÓN 
ARTICULADOS A LAS ACCIONES DE MEDIANO PLAZO &amp;R&amp;"Arial,Negrita Cursiva"Plan Operativo Anual 2021......</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DU336"/>
  <sheetViews>
    <sheetView tabSelected="1" view="pageBreakPreview" topLeftCell="A165" zoomScale="70" zoomScaleNormal="70" zoomScaleSheetLayoutView="70" zoomScalePageLayoutView="70" workbookViewId="0">
      <selection activeCell="L161" sqref="L161"/>
    </sheetView>
  </sheetViews>
  <sheetFormatPr baseColWidth="10" defaultRowHeight="12.75" x14ac:dyDescent="0.2"/>
  <cols>
    <col min="1" max="1" width="10.5703125" style="22" customWidth="1"/>
    <col min="2" max="2" width="41.140625" style="38" customWidth="1"/>
    <col min="3" max="3" width="40.5703125" style="39" customWidth="1"/>
    <col min="4" max="4" width="17.140625" style="29" customWidth="1"/>
    <col min="5" max="5" width="4.5703125" style="40" customWidth="1"/>
    <col min="6" max="6" width="4.85546875" style="40" customWidth="1"/>
    <col min="7" max="7" width="5.85546875" style="40" customWidth="1"/>
    <col min="8" max="8" width="9.28515625" style="41" customWidth="1"/>
    <col min="9" max="9" width="5.7109375" style="42" customWidth="1"/>
    <col min="10" max="10" width="7.42578125" style="43" customWidth="1"/>
    <col min="11" max="11" width="7.28515625" style="43" customWidth="1"/>
    <col min="12" max="22" width="6" style="27" customWidth="1"/>
    <col min="23" max="23" width="6.5703125" style="27" customWidth="1"/>
    <col min="24" max="24" width="7" style="28" customWidth="1"/>
    <col min="25" max="36" width="3.28515625" style="27" hidden="1" customWidth="1"/>
    <col min="37" max="37" width="3.140625" style="28" hidden="1" customWidth="1"/>
    <col min="38" max="16384" width="11.42578125" style="22"/>
  </cols>
  <sheetData>
    <row r="1" spans="1:37" ht="18.75" customHeight="1" x14ac:dyDescent="0.2">
      <c r="A1" s="1569" t="str">
        <f>'FORM-1'!A1:D1</f>
        <v>SECRETARÍA O SERVICIO DEPARTAMENTAL DE GESTION SOCIAL</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22"/>
      <c r="Z1" s="22"/>
      <c r="AA1" s="22"/>
      <c r="AB1" s="22"/>
      <c r="AC1" s="22"/>
      <c r="AD1" s="22"/>
      <c r="AE1" s="22"/>
      <c r="AF1" s="22"/>
      <c r="AG1" s="22"/>
      <c r="AH1" s="22"/>
      <c r="AI1" s="22"/>
      <c r="AJ1" s="22"/>
      <c r="AK1" s="22"/>
    </row>
    <row r="2" spans="1:37" ht="13.5" thickBot="1" x14ac:dyDescent="0.25">
      <c r="A2" s="67"/>
      <c r="B2" s="69"/>
      <c r="C2" s="70"/>
      <c r="D2" s="71"/>
      <c r="E2" s="72"/>
      <c r="F2" s="72"/>
      <c r="G2" s="72"/>
      <c r="H2" s="73"/>
      <c r="I2" s="73"/>
      <c r="J2" s="74"/>
      <c r="K2" s="68"/>
      <c r="L2" s="68"/>
      <c r="M2" s="75"/>
      <c r="N2" s="76"/>
      <c r="O2" s="77"/>
      <c r="P2" s="68"/>
      <c r="Q2" s="68"/>
      <c r="R2" s="68"/>
      <c r="S2" s="1578" t="str">
        <f>'FORM-1'!D2</f>
        <v>Fecha: 05/08/2020</v>
      </c>
      <c r="T2" s="1578"/>
      <c r="U2" s="1578"/>
      <c r="V2" s="1578"/>
      <c r="W2" s="1578"/>
      <c r="X2" s="1578"/>
      <c r="Y2" s="22"/>
      <c r="Z2" s="22"/>
      <c r="AA2" s="22"/>
      <c r="AB2" s="22"/>
      <c r="AC2" s="22"/>
      <c r="AD2" s="22"/>
      <c r="AE2" s="22"/>
      <c r="AF2" s="22"/>
      <c r="AG2" s="22"/>
      <c r="AH2" s="22"/>
      <c r="AI2" s="22"/>
      <c r="AJ2" s="22"/>
      <c r="AK2" s="22"/>
    </row>
    <row r="3" spans="1:37" ht="18.75" thickBot="1" x14ac:dyDescent="0.25">
      <c r="A3" s="1579" t="s">
        <v>412</v>
      </c>
      <c r="B3" s="1580"/>
      <c r="C3" s="1580"/>
      <c r="D3" s="1580"/>
      <c r="E3" s="1580"/>
      <c r="F3" s="1580"/>
      <c r="G3" s="1580"/>
      <c r="H3" s="1580"/>
      <c r="I3" s="1580"/>
      <c r="J3" s="1580"/>
      <c r="K3" s="1580"/>
      <c r="L3" s="1580"/>
      <c r="M3" s="1580"/>
      <c r="N3" s="1580"/>
      <c r="O3" s="1580"/>
      <c r="P3" s="1580"/>
      <c r="Q3" s="1580"/>
      <c r="R3" s="1580"/>
      <c r="S3" s="1580"/>
      <c r="T3" s="1580"/>
      <c r="U3" s="1580"/>
      <c r="V3" s="1580"/>
      <c r="W3" s="1580"/>
      <c r="X3" s="1581"/>
      <c r="Y3" s="22"/>
      <c r="Z3" s="22"/>
      <c r="AA3" s="22"/>
      <c r="AB3" s="22"/>
      <c r="AC3" s="22"/>
      <c r="AD3" s="22"/>
      <c r="AE3" s="22"/>
      <c r="AF3" s="22"/>
      <c r="AG3" s="22"/>
      <c r="AH3" s="22"/>
      <c r="AI3" s="22"/>
      <c r="AJ3" s="22"/>
      <c r="AK3" s="22"/>
    </row>
    <row r="4" spans="1:37" ht="27" customHeight="1" thickTop="1" thickBot="1" x14ac:dyDescent="0.25">
      <c r="A4" s="1582" t="s">
        <v>453</v>
      </c>
      <c r="B4" s="1584" t="s">
        <v>413</v>
      </c>
      <c r="C4" s="1584" t="s">
        <v>414</v>
      </c>
      <c r="D4" s="1587" t="s">
        <v>383</v>
      </c>
      <c r="E4" s="1589" t="s">
        <v>467</v>
      </c>
      <c r="F4" s="1589" t="s">
        <v>382</v>
      </c>
      <c r="G4" s="1589" t="s">
        <v>415</v>
      </c>
      <c r="H4" s="1591" t="s">
        <v>301</v>
      </c>
      <c r="I4" s="1592"/>
      <c r="J4" s="1593" t="s">
        <v>5</v>
      </c>
      <c r="K4" s="1594"/>
      <c r="L4" s="1603" t="s">
        <v>0</v>
      </c>
      <c r="M4" s="1604"/>
      <c r="N4" s="1604"/>
      <c r="O4" s="1604"/>
      <c r="P4" s="1604"/>
      <c r="Q4" s="1604"/>
      <c r="R4" s="1604"/>
      <c r="S4" s="1604"/>
      <c r="T4" s="1604"/>
      <c r="U4" s="1604"/>
      <c r="V4" s="1604"/>
      <c r="W4" s="1604"/>
      <c r="X4" s="1605"/>
      <c r="Y4" s="1597" t="s">
        <v>1</v>
      </c>
      <c r="Z4" s="1598"/>
      <c r="AA4" s="1598"/>
      <c r="AB4" s="1598"/>
      <c r="AC4" s="1598"/>
      <c r="AD4" s="1598"/>
      <c r="AE4" s="1598"/>
      <c r="AF4" s="1598"/>
      <c r="AG4" s="1598"/>
      <c r="AH4" s="1598"/>
      <c r="AI4" s="1598"/>
      <c r="AJ4" s="1598"/>
      <c r="AK4" s="1599"/>
    </row>
    <row r="5" spans="1:37" ht="18" customHeight="1" thickTop="1" thickBot="1" x14ac:dyDescent="0.25">
      <c r="A5" s="1583"/>
      <c r="B5" s="1585"/>
      <c r="C5" s="1586"/>
      <c r="D5" s="1588"/>
      <c r="E5" s="1590"/>
      <c r="F5" s="1590"/>
      <c r="G5" s="1590"/>
      <c r="H5" s="695" t="s">
        <v>2</v>
      </c>
      <c r="I5" s="696" t="s">
        <v>3</v>
      </c>
      <c r="J5" s="695" t="s">
        <v>6</v>
      </c>
      <c r="K5" s="697" t="s">
        <v>7</v>
      </c>
      <c r="L5" s="834" t="s">
        <v>15</v>
      </c>
      <c r="M5" s="835" t="s">
        <v>19</v>
      </c>
      <c r="N5" s="835" t="s">
        <v>23</v>
      </c>
      <c r="O5" s="835" t="s">
        <v>24</v>
      </c>
      <c r="P5" s="835" t="s">
        <v>25</v>
      </c>
      <c r="Q5" s="835" t="s">
        <v>17</v>
      </c>
      <c r="R5" s="835" t="s">
        <v>22</v>
      </c>
      <c r="S5" s="835" t="s">
        <v>21</v>
      </c>
      <c r="T5" s="835" t="s">
        <v>20</v>
      </c>
      <c r="U5" s="835" t="s">
        <v>302</v>
      </c>
      <c r="V5" s="835" t="s">
        <v>18</v>
      </c>
      <c r="W5" s="835" t="s">
        <v>16</v>
      </c>
      <c r="X5" s="1210" t="s">
        <v>10</v>
      </c>
      <c r="Y5" s="9" t="s">
        <v>15</v>
      </c>
      <c r="Z5" s="10" t="s">
        <v>19</v>
      </c>
      <c r="AA5" s="10" t="s">
        <v>23</v>
      </c>
      <c r="AB5" s="10" t="s">
        <v>24</v>
      </c>
      <c r="AC5" s="10" t="s">
        <v>25</v>
      </c>
      <c r="AD5" s="10" t="s">
        <v>17</v>
      </c>
      <c r="AE5" s="10" t="s">
        <v>22</v>
      </c>
      <c r="AF5" s="10" t="s">
        <v>21</v>
      </c>
      <c r="AG5" s="10" t="s">
        <v>20</v>
      </c>
      <c r="AH5" s="10" t="s">
        <v>302</v>
      </c>
      <c r="AI5" s="10" t="s">
        <v>18</v>
      </c>
      <c r="AJ5" s="10" t="s">
        <v>16</v>
      </c>
      <c r="AK5" s="11" t="s">
        <v>10</v>
      </c>
    </row>
    <row r="6" spans="1:37" ht="27.75" customHeight="1" thickTop="1" thickBot="1" x14ac:dyDescent="0.25">
      <c r="A6" s="1235"/>
      <c r="B6" s="698"/>
      <c r="C6" s="699"/>
      <c r="D6" s="700"/>
      <c r="E6" s="1274">
        <v>100</v>
      </c>
      <c r="F6" s="1274">
        <v>100</v>
      </c>
      <c r="G6" s="701"/>
      <c r="H6" s="702"/>
      <c r="I6" s="1211"/>
      <c r="J6" s="1212"/>
      <c r="K6" s="699"/>
      <c r="L6" s="1213">
        <f t="shared" ref="L6:W6" si="0">(L7*$F$7+L18*$F$18+L37*$F$37+L67*$F$67+L258*$F$258+L274*$F$274+L287*$F$287+L299*$F$299+L311*$F$311+L319*$F$319)/$F$6</f>
        <v>8.6299093766705681</v>
      </c>
      <c r="M6" s="1213">
        <f t="shared" si="0"/>
        <v>8.2019092042007191</v>
      </c>
      <c r="N6" s="1213">
        <f t="shared" si="0"/>
        <v>13.828434782491716</v>
      </c>
      <c r="O6" s="1213">
        <f t="shared" si="0"/>
        <v>8.2537682661922602</v>
      </c>
      <c r="P6" s="1213">
        <f t="shared" si="0"/>
        <v>9.0037413868707361</v>
      </c>
      <c r="Q6" s="1213">
        <f t="shared" si="0"/>
        <v>8.0658028241831712</v>
      </c>
      <c r="R6" s="1213">
        <f t="shared" si="0"/>
        <v>7.0207806816548111</v>
      </c>
      <c r="S6" s="1213">
        <f t="shared" si="0"/>
        <v>11.729754580210971</v>
      </c>
      <c r="T6" s="1213">
        <f t="shared" si="0"/>
        <v>5.7748859756354696</v>
      </c>
      <c r="U6" s="1213">
        <f t="shared" si="0"/>
        <v>6.6876960220094226</v>
      </c>
      <c r="V6" s="1213">
        <f t="shared" si="0"/>
        <v>7.7014458396063894</v>
      </c>
      <c r="W6" s="1213">
        <f t="shared" si="0"/>
        <v>5.2276744703136266</v>
      </c>
      <c r="X6" s="1275">
        <f>SUM(L6:W6)</f>
        <v>100.12580341003986</v>
      </c>
      <c r="Y6" s="1209"/>
      <c r="Z6" s="497"/>
      <c r="AA6" s="497"/>
      <c r="AB6" s="497"/>
      <c r="AC6" s="497"/>
      <c r="AD6" s="497"/>
      <c r="AE6" s="497"/>
      <c r="AF6" s="497"/>
      <c r="AG6" s="497"/>
      <c r="AH6" s="497"/>
      <c r="AI6" s="497"/>
      <c r="AJ6" s="498"/>
      <c r="AK6" s="499"/>
    </row>
    <row r="7" spans="1:37" ht="92.25" customHeight="1" thickBot="1" x14ac:dyDescent="0.25">
      <c r="A7" s="1242" t="s">
        <v>437</v>
      </c>
      <c r="B7" s="1228" t="str">
        <f>'FORM-2'!E9</f>
        <v>140  (Mujeres, hijos e hijas) victimas del delito de trata y trafico beneficiados con atencion integral mediante el  Programa Centro Especial para Mujeres Victimas del Delito de Trata y Trafico de Personas.</v>
      </c>
      <c r="C7" s="1119" t="str">
        <f>'FORM-2'!H9</f>
        <v>140  (Mujeres, hijos e hijas) victimas del delito de trata y trafico  beneficiados  con atencion integral</v>
      </c>
      <c r="D7" s="1276" t="s">
        <v>1161</v>
      </c>
      <c r="E7" s="1112"/>
      <c r="F7" s="769">
        <v>10</v>
      </c>
      <c r="G7" s="821">
        <f>SUM(G8:G17)</f>
        <v>100</v>
      </c>
      <c r="H7" s="900" t="s">
        <v>1248</v>
      </c>
      <c r="I7" s="1351">
        <v>140</v>
      </c>
      <c r="J7" s="1123">
        <v>44200</v>
      </c>
      <c r="K7" s="1019">
        <v>44560</v>
      </c>
      <c r="L7" s="830">
        <f t="shared" ref="L7:W7" si="1">+(L8*$G$8+L9*$G$9+L10*$G$10+L11*$G$11+L12*$G$12+L13*$G$13+L14*$G$14+L15*$G$15+L16*$G$16+L17*$G$17)/$G$7</f>
        <v>1.666666666666667</v>
      </c>
      <c r="M7" s="830">
        <f t="shared" si="1"/>
        <v>12.229437229437231</v>
      </c>
      <c r="N7" s="830">
        <f t="shared" si="1"/>
        <v>15.623376623376625</v>
      </c>
      <c r="O7" s="830">
        <f t="shared" si="1"/>
        <v>3.6233766233766227</v>
      </c>
      <c r="P7" s="830">
        <f t="shared" si="1"/>
        <v>7.766233766233765</v>
      </c>
      <c r="Q7" s="830">
        <f t="shared" si="1"/>
        <v>6.766233766233765</v>
      </c>
      <c r="R7" s="830">
        <f t="shared" si="1"/>
        <v>14.766233766233766</v>
      </c>
      <c r="S7" s="830">
        <f t="shared" si="1"/>
        <v>14.766233766233768</v>
      </c>
      <c r="T7" s="830">
        <f t="shared" si="1"/>
        <v>7.766233766233765</v>
      </c>
      <c r="U7" s="830">
        <f t="shared" si="1"/>
        <v>4.766233766233765</v>
      </c>
      <c r="V7" s="830">
        <f t="shared" si="1"/>
        <v>6.766233766233765</v>
      </c>
      <c r="W7" s="830">
        <f t="shared" si="1"/>
        <v>4.766233766233765</v>
      </c>
      <c r="X7" s="1175">
        <f t="shared" ref="X7:X38" si="2">+SUM(L7:W7)</f>
        <v>101.27272727272728</v>
      </c>
      <c r="Y7" s="1209"/>
      <c r="Z7" s="497"/>
      <c r="AA7" s="497"/>
      <c r="AB7" s="497"/>
      <c r="AC7" s="497"/>
      <c r="AD7" s="497"/>
      <c r="AE7" s="497"/>
      <c r="AF7" s="497"/>
      <c r="AG7" s="497"/>
      <c r="AH7" s="497"/>
      <c r="AI7" s="497"/>
      <c r="AJ7" s="498"/>
      <c r="AK7" s="499"/>
    </row>
    <row r="8" spans="1:37" ht="103.5" customHeight="1" x14ac:dyDescent="0.2">
      <c r="A8" s="1239" t="s">
        <v>478</v>
      </c>
      <c r="B8" s="1229" t="s">
        <v>1390</v>
      </c>
      <c r="C8" s="816" t="s">
        <v>1162</v>
      </c>
      <c r="D8" s="1005" t="s">
        <v>1161</v>
      </c>
      <c r="E8" s="817"/>
      <c r="F8" s="818"/>
      <c r="G8" s="819">
        <f>1*100/10</f>
        <v>10</v>
      </c>
      <c r="H8" s="899" t="s">
        <v>777</v>
      </c>
      <c r="I8" s="1352">
        <v>6</v>
      </c>
      <c r="J8" s="1122">
        <v>44200</v>
      </c>
      <c r="K8" s="1017">
        <v>44253</v>
      </c>
      <c r="L8" s="931">
        <f>1*100/6</f>
        <v>16.666666666666668</v>
      </c>
      <c r="M8" s="820">
        <f>5*100/6</f>
        <v>83.333333333333329</v>
      </c>
      <c r="N8" s="820"/>
      <c r="O8" s="820"/>
      <c r="P8" s="820"/>
      <c r="Q8" s="820"/>
      <c r="R8" s="820"/>
      <c r="S8" s="820"/>
      <c r="T8" s="820"/>
      <c r="U8" s="820"/>
      <c r="V8" s="820"/>
      <c r="W8" s="883"/>
      <c r="X8" s="1174">
        <f t="shared" si="2"/>
        <v>100</v>
      </c>
      <c r="Y8" s="1209"/>
      <c r="Z8" s="497"/>
      <c r="AA8" s="497"/>
      <c r="AB8" s="497"/>
      <c r="AC8" s="497"/>
      <c r="AD8" s="497"/>
      <c r="AE8" s="497"/>
      <c r="AF8" s="497"/>
      <c r="AG8" s="497"/>
      <c r="AH8" s="497"/>
      <c r="AI8" s="497"/>
      <c r="AJ8" s="498"/>
      <c r="AK8" s="499"/>
    </row>
    <row r="9" spans="1:37" ht="72.75" customHeight="1" x14ac:dyDescent="0.2">
      <c r="A9" s="1240" t="s">
        <v>479</v>
      </c>
      <c r="B9" s="1230" t="s">
        <v>1356</v>
      </c>
      <c r="C9" s="669" t="s">
        <v>1163</v>
      </c>
      <c r="D9" s="1005" t="s">
        <v>1161</v>
      </c>
      <c r="E9" s="796"/>
      <c r="F9" s="738"/>
      <c r="G9" s="801">
        <f t="shared" ref="G9:G17" si="3">1*100/10</f>
        <v>10</v>
      </c>
      <c r="H9" s="659" t="s">
        <v>777</v>
      </c>
      <c r="I9" s="1353">
        <v>22</v>
      </c>
      <c r="J9" s="937">
        <v>44228</v>
      </c>
      <c r="K9" s="934">
        <v>44561</v>
      </c>
      <c r="L9" s="788"/>
      <c r="M9" s="749">
        <f t="shared" ref="M9:W9" si="4">100/11</f>
        <v>9.0909090909090917</v>
      </c>
      <c r="N9" s="749">
        <f t="shared" si="4"/>
        <v>9.0909090909090917</v>
      </c>
      <c r="O9" s="749">
        <f t="shared" si="4"/>
        <v>9.0909090909090917</v>
      </c>
      <c r="P9" s="749">
        <f t="shared" si="4"/>
        <v>9.0909090909090917</v>
      </c>
      <c r="Q9" s="749">
        <f t="shared" si="4"/>
        <v>9.0909090909090917</v>
      </c>
      <c r="R9" s="749">
        <f t="shared" si="4"/>
        <v>9.0909090909090917</v>
      </c>
      <c r="S9" s="749">
        <f t="shared" si="4"/>
        <v>9.0909090909090917</v>
      </c>
      <c r="T9" s="749">
        <f t="shared" si="4"/>
        <v>9.0909090909090917</v>
      </c>
      <c r="U9" s="749">
        <f t="shared" si="4"/>
        <v>9.0909090909090917</v>
      </c>
      <c r="V9" s="749">
        <f t="shared" si="4"/>
        <v>9.0909090909090917</v>
      </c>
      <c r="W9" s="792">
        <f t="shared" si="4"/>
        <v>9.0909090909090917</v>
      </c>
      <c r="X9" s="888">
        <f t="shared" si="2"/>
        <v>100.00000000000001</v>
      </c>
      <c r="Y9" s="1209"/>
      <c r="Z9" s="497"/>
      <c r="AA9" s="497"/>
      <c r="AB9" s="497"/>
      <c r="AC9" s="497"/>
      <c r="AD9" s="497"/>
      <c r="AE9" s="497"/>
      <c r="AF9" s="497"/>
      <c r="AG9" s="497"/>
      <c r="AH9" s="497"/>
      <c r="AI9" s="497"/>
      <c r="AJ9" s="498"/>
      <c r="AK9" s="499"/>
    </row>
    <row r="10" spans="1:37" ht="73.5" customHeight="1" x14ac:dyDescent="0.2">
      <c r="A10" s="1240" t="s">
        <v>480</v>
      </c>
      <c r="B10" s="1231" t="s">
        <v>1357</v>
      </c>
      <c r="C10" s="669" t="s">
        <v>1164</v>
      </c>
      <c r="D10" s="1005" t="s">
        <v>1161</v>
      </c>
      <c r="E10" s="796"/>
      <c r="F10" s="738"/>
      <c r="G10" s="801">
        <f t="shared" si="3"/>
        <v>10</v>
      </c>
      <c r="H10" s="659" t="s">
        <v>777</v>
      </c>
      <c r="I10" s="1353">
        <v>2</v>
      </c>
      <c r="J10" s="937">
        <v>44256</v>
      </c>
      <c r="K10" s="934">
        <v>44285</v>
      </c>
      <c r="L10" s="788"/>
      <c r="M10" s="749"/>
      <c r="N10" s="749">
        <v>100</v>
      </c>
      <c r="O10" s="749"/>
      <c r="P10" s="749"/>
      <c r="Q10" s="749"/>
      <c r="R10" s="749"/>
      <c r="S10" s="749"/>
      <c r="T10" s="749"/>
      <c r="U10" s="749"/>
      <c r="V10" s="749"/>
      <c r="W10" s="792"/>
      <c r="X10" s="888">
        <f t="shared" si="2"/>
        <v>100</v>
      </c>
      <c r="Y10" s="1209"/>
      <c r="Z10" s="497"/>
      <c r="AA10" s="497"/>
      <c r="AB10" s="497"/>
      <c r="AC10" s="497"/>
      <c r="AD10" s="497"/>
      <c r="AE10" s="497"/>
      <c r="AF10" s="497"/>
      <c r="AG10" s="497"/>
      <c r="AH10" s="497"/>
      <c r="AI10" s="497"/>
      <c r="AJ10" s="498"/>
      <c r="AK10" s="499"/>
    </row>
    <row r="11" spans="1:37" ht="71.25" customHeight="1" x14ac:dyDescent="0.2">
      <c r="A11" s="1240" t="s">
        <v>481</v>
      </c>
      <c r="B11" s="1231" t="s">
        <v>1932</v>
      </c>
      <c r="C11" s="669" t="s">
        <v>1931</v>
      </c>
      <c r="D11" s="1005" t="s">
        <v>1161</v>
      </c>
      <c r="E11" s="796"/>
      <c r="F11" s="738"/>
      <c r="G11" s="801">
        <f t="shared" si="3"/>
        <v>10</v>
      </c>
      <c r="H11" s="659" t="s">
        <v>777</v>
      </c>
      <c r="I11" s="1353">
        <v>1</v>
      </c>
      <c r="J11" s="937">
        <v>44410</v>
      </c>
      <c r="K11" s="934">
        <v>44439</v>
      </c>
      <c r="L11" s="788"/>
      <c r="M11" s="749">
        <v>12.727272727272727</v>
      </c>
      <c r="N11" s="749"/>
      <c r="O11" s="749"/>
      <c r="P11" s="749"/>
      <c r="Q11" s="749"/>
      <c r="R11" s="749"/>
      <c r="S11" s="749">
        <v>100</v>
      </c>
      <c r="T11" s="749"/>
      <c r="U11" s="749"/>
      <c r="V11" s="749"/>
      <c r="W11" s="792"/>
      <c r="X11" s="888">
        <f t="shared" si="2"/>
        <v>112.72727272727272</v>
      </c>
      <c r="Y11" s="1209"/>
      <c r="Z11" s="497"/>
      <c r="AA11" s="497"/>
      <c r="AB11" s="497"/>
      <c r="AC11" s="497"/>
      <c r="AD11" s="497"/>
      <c r="AE11" s="497"/>
      <c r="AF11" s="497"/>
      <c r="AG11" s="497"/>
      <c r="AH11" s="497"/>
      <c r="AI11" s="497"/>
      <c r="AJ11" s="498"/>
      <c r="AK11" s="499"/>
    </row>
    <row r="12" spans="1:37" ht="87" customHeight="1" x14ac:dyDescent="0.2">
      <c r="A12" s="1240" t="s">
        <v>482</v>
      </c>
      <c r="B12" s="1230" t="s">
        <v>1165</v>
      </c>
      <c r="C12" s="644" t="s">
        <v>1930</v>
      </c>
      <c r="D12" s="1005" t="s">
        <v>1161</v>
      </c>
      <c r="E12" s="796"/>
      <c r="F12" s="738"/>
      <c r="G12" s="801">
        <f t="shared" si="3"/>
        <v>10</v>
      </c>
      <c r="H12" s="662" t="s">
        <v>1166</v>
      </c>
      <c r="I12" s="1353">
        <v>140</v>
      </c>
      <c r="J12" s="937">
        <v>44228</v>
      </c>
      <c r="K12" s="934">
        <v>44561</v>
      </c>
      <c r="L12" s="788"/>
      <c r="M12" s="793">
        <f>12*0.714285714285714</f>
        <v>8.5714285714285676</v>
      </c>
      <c r="N12" s="793">
        <f t="shared" ref="N12:O13" si="5">12*0.714285714285714</f>
        <v>8.5714285714285676</v>
      </c>
      <c r="O12" s="793">
        <f t="shared" si="5"/>
        <v>8.5714285714285676</v>
      </c>
      <c r="P12" s="793">
        <f>13*0.714285714285714</f>
        <v>9.2857142857142811</v>
      </c>
      <c r="Q12" s="793">
        <f t="shared" ref="Q12:W13" si="6">13*0.714285714285714</f>
        <v>9.2857142857142811</v>
      </c>
      <c r="R12" s="793">
        <f t="shared" si="6"/>
        <v>9.2857142857142811</v>
      </c>
      <c r="S12" s="793">
        <f t="shared" si="6"/>
        <v>9.2857142857142811</v>
      </c>
      <c r="T12" s="793">
        <f t="shared" si="6"/>
        <v>9.2857142857142811</v>
      </c>
      <c r="U12" s="793">
        <f t="shared" si="6"/>
        <v>9.2857142857142811</v>
      </c>
      <c r="V12" s="793">
        <f t="shared" si="6"/>
        <v>9.2857142857142811</v>
      </c>
      <c r="W12" s="793">
        <f t="shared" si="6"/>
        <v>9.2857142857142811</v>
      </c>
      <c r="X12" s="888">
        <f t="shared" si="2"/>
        <v>99.999999999999929</v>
      </c>
      <c r="Y12" s="1209"/>
      <c r="Z12" s="497"/>
      <c r="AA12" s="497"/>
      <c r="AB12" s="497"/>
      <c r="AC12" s="497"/>
      <c r="AD12" s="497"/>
      <c r="AE12" s="497"/>
      <c r="AF12" s="497"/>
      <c r="AG12" s="497"/>
      <c r="AH12" s="497"/>
      <c r="AI12" s="497"/>
      <c r="AJ12" s="498"/>
      <c r="AK12" s="499"/>
    </row>
    <row r="13" spans="1:37" ht="96.75" customHeight="1" x14ac:dyDescent="0.2">
      <c r="A13" s="1240" t="s">
        <v>483</v>
      </c>
      <c r="B13" s="1230" t="s">
        <v>1167</v>
      </c>
      <c r="C13" s="644" t="s">
        <v>1928</v>
      </c>
      <c r="D13" s="1005" t="s">
        <v>1161</v>
      </c>
      <c r="E13" s="796"/>
      <c r="F13" s="738"/>
      <c r="G13" s="801">
        <f t="shared" si="3"/>
        <v>10</v>
      </c>
      <c r="H13" s="662" t="s">
        <v>1168</v>
      </c>
      <c r="I13" s="1353">
        <v>140</v>
      </c>
      <c r="J13" s="937">
        <v>44228</v>
      </c>
      <c r="K13" s="934">
        <v>44561</v>
      </c>
      <c r="L13" s="788"/>
      <c r="M13" s="793">
        <f>12*0.714285714285714</f>
        <v>8.5714285714285676</v>
      </c>
      <c r="N13" s="793">
        <f t="shared" si="5"/>
        <v>8.5714285714285676</v>
      </c>
      <c r="O13" s="793">
        <f t="shared" si="5"/>
        <v>8.5714285714285676</v>
      </c>
      <c r="P13" s="793">
        <f>13*0.714285714285714</f>
        <v>9.2857142857142811</v>
      </c>
      <c r="Q13" s="793">
        <f t="shared" si="6"/>
        <v>9.2857142857142811</v>
      </c>
      <c r="R13" s="793">
        <f t="shared" si="6"/>
        <v>9.2857142857142811</v>
      </c>
      <c r="S13" s="793">
        <f t="shared" si="6"/>
        <v>9.2857142857142811</v>
      </c>
      <c r="T13" s="793">
        <f t="shared" si="6"/>
        <v>9.2857142857142811</v>
      </c>
      <c r="U13" s="793">
        <f t="shared" si="6"/>
        <v>9.2857142857142811</v>
      </c>
      <c r="V13" s="793">
        <f t="shared" si="6"/>
        <v>9.2857142857142811</v>
      </c>
      <c r="W13" s="793">
        <f t="shared" si="6"/>
        <v>9.2857142857142811</v>
      </c>
      <c r="X13" s="888">
        <f t="shared" si="2"/>
        <v>99.999999999999929</v>
      </c>
      <c r="Y13" s="1209"/>
      <c r="Z13" s="497"/>
      <c r="AA13" s="497"/>
      <c r="AB13" s="497"/>
      <c r="AC13" s="497"/>
      <c r="AD13" s="497"/>
      <c r="AE13" s="497"/>
      <c r="AF13" s="497"/>
      <c r="AG13" s="497"/>
      <c r="AH13" s="497"/>
      <c r="AI13" s="497"/>
      <c r="AJ13" s="498"/>
      <c r="AK13" s="499"/>
    </row>
    <row r="14" spans="1:37" ht="70.5" customHeight="1" x14ac:dyDescent="0.2">
      <c r="A14" s="1240" t="s">
        <v>534</v>
      </c>
      <c r="B14" s="1232" t="s">
        <v>1169</v>
      </c>
      <c r="C14" s="644" t="s">
        <v>1929</v>
      </c>
      <c r="D14" s="1005" t="s">
        <v>1161</v>
      </c>
      <c r="E14" s="796"/>
      <c r="F14" s="738"/>
      <c r="G14" s="801">
        <v>10</v>
      </c>
      <c r="H14" s="662" t="s">
        <v>1170</v>
      </c>
      <c r="I14" s="1353">
        <v>5</v>
      </c>
      <c r="J14" s="937">
        <v>44256</v>
      </c>
      <c r="K14" s="934">
        <v>44530</v>
      </c>
      <c r="L14" s="788"/>
      <c r="M14" s="749"/>
      <c r="N14" s="793">
        <f>100/5</f>
        <v>20</v>
      </c>
      <c r="O14" s="793"/>
      <c r="P14" s="793">
        <v>20</v>
      </c>
      <c r="Q14" s="793">
        <v>20</v>
      </c>
      <c r="R14" s="793"/>
      <c r="S14" s="793"/>
      <c r="T14" s="793">
        <v>20</v>
      </c>
      <c r="U14" s="793"/>
      <c r="V14" s="793">
        <v>20</v>
      </c>
      <c r="W14" s="884"/>
      <c r="X14" s="888">
        <f t="shared" si="2"/>
        <v>100</v>
      </c>
      <c r="Y14" s="1209"/>
      <c r="Z14" s="497"/>
      <c r="AA14" s="497"/>
      <c r="AB14" s="497"/>
      <c r="AC14" s="497"/>
      <c r="AD14" s="497"/>
      <c r="AE14" s="497"/>
      <c r="AF14" s="497"/>
      <c r="AG14" s="497"/>
      <c r="AH14" s="497"/>
      <c r="AI14" s="497"/>
      <c r="AJ14" s="498"/>
      <c r="AK14" s="499"/>
    </row>
    <row r="15" spans="1:37" ht="78" customHeight="1" x14ac:dyDescent="0.2">
      <c r="A15" s="1240" t="s">
        <v>535</v>
      </c>
      <c r="B15" s="1233" t="s">
        <v>1925</v>
      </c>
      <c r="C15" s="644" t="s">
        <v>1171</v>
      </c>
      <c r="D15" s="1005" t="s">
        <v>1161</v>
      </c>
      <c r="E15" s="796"/>
      <c r="F15" s="738"/>
      <c r="G15" s="801">
        <f t="shared" si="3"/>
        <v>10</v>
      </c>
      <c r="H15" s="662" t="s">
        <v>1170</v>
      </c>
      <c r="I15" s="1353">
        <v>1</v>
      </c>
      <c r="J15" s="937">
        <v>44378</v>
      </c>
      <c r="K15" s="934">
        <v>44408</v>
      </c>
      <c r="L15" s="788"/>
      <c r="M15" s="749"/>
      <c r="N15" s="793"/>
      <c r="O15" s="793"/>
      <c r="P15" s="749"/>
      <c r="Q15" s="749"/>
      <c r="R15" s="749">
        <v>100</v>
      </c>
      <c r="S15" s="749"/>
      <c r="T15" s="749"/>
      <c r="U15" s="749"/>
      <c r="V15" s="749"/>
      <c r="W15" s="792"/>
      <c r="X15" s="888">
        <f t="shared" si="2"/>
        <v>100</v>
      </c>
      <c r="Y15" s="1209"/>
      <c r="Z15" s="497"/>
      <c r="AA15" s="497"/>
      <c r="AB15" s="497"/>
      <c r="AC15" s="497"/>
      <c r="AD15" s="497"/>
      <c r="AE15" s="497"/>
      <c r="AF15" s="497"/>
      <c r="AG15" s="497"/>
      <c r="AH15" s="497"/>
      <c r="AI15" s="497"/>
      <c r="AJ15" s="498"/>
      <c r="AK15" s="499"/>
    </row>
    <row r="16" spans="1:37" ht="71.25" customHeight="1" x14ac:dyDescent="0.2">
      <c r="A16" s="1240" t="s">
        <v>536</v>
      </c>
      <c r="B16" s="1233" t="s">
        <v>1172</v>
      </c>
      <c r="C16" s="644" t="s">
        <v>1926</v>
      </c>
      <c r="D16" s="1005" t="s">
        <v>1161</v>
      </c>
      <c r="E16" s="796"/>
      <c r="F16" s="738"/>
      <c r="G16" s="801">
        <f t="shared" si="3"/>
        <v>10</v>
      </c>
      <c r="H16" s="662" t="s">
        <v>1170</v>
      </c>
      <c r="I16" s="1353">
        <v>10</v>
      </c>
      <c r="J16" s="937">
        <v>44256</v>
      </c>
      <c r="K16" s="934">
        <v>44561</v>
      </c>
      <c r="L16" s="788"/>
      <c r="M16" s="749"/>
      <c r="N16" s="793">
        <v>10</v>
      </c>
      <c r="O16" s="793">
        <v>10</v>
      </c>
      <c r="P16" s="749">
        <v>10</v>
      </c>
      <c r="Q16" s="749">
        <v>10</v>
      </c>
      <c r="R16" s="749"/>
      <c r="S16" s="749">
        <v>10</v>
      </c>
      <c r="T16" s="749">
        <v>20</v>
      </c>
      <c r="U16" s="749">
        <v>10</v>
      </c>
      <c r="V16" s="749">
        <v>10</v>
      </c>
      <c r="W16" s="792">
        <v>10</v>
      </c>
      <c r="X16" s="888">
        <f t="shared" si="2"/>
        <v>100</v>
      </c>
      <c r="Y16" s="1209"/>
      <c r="Z16" s="497"/>
      <c r="AA16" s="497"/>
      <c r="AB16" s="497"/>
      <c r="AC16" s="497"/>
      <c r="AD16" s="497"/>
      <c r="AE16" s="497"/>
      <c r="AF16" s="497"/>
      <c r="AG16" s="497"/>
      <c r="AH16" s="497"/>
      <c r="AI16" s="497"/>
      <c r="AJ16" s="498"/>
      <c r="AK16" s="499"/>
    </row>
    <row r="17" spans="1:37" ht="82.5" customHeight="1" thickBot="1" x14ac:dyDescent="0.25">
      <c r="A17" s="1241" t="s">
        <v>537</v>
      </c>
      <c r="B17" s="1234" t="s">
        <v>1173</v>
      </c>
      <c r="C17" s="745" t="s">
        <v>1927</v>
      </c>
      <c r="D17" s="1005" t="s">
        <v>1161</v>
      </c>
      <c r="E17" s="797"/>
      <c r="F17" s="800"/>
      <c r="G17" s="802">
        <f t="shared" si="3"/>
        <v>10</v>
      </c>
      <c r="H17" s="898" t="s">
        <v>1170</v>
      </c>
      <c r="I17" s="1354">
        <v>10</v>
      </c>
      <c r="J17" s="938">
        <v>44319</v>
      </c>
      <c r="K17" s="939">
        <v>44561</v>
      </c>
      <c r="L17" s="932"/>
      <c r="M17" s="798"/>
      <c r="N17" s="799"/>
      <c r="O17" s="799"/>
      <c r="P17" s="798">
        <v>20</v>
      </c>
      <c r="Q17" s="798">
        <v>10</v>
      </c>
      <c r="R17" s="798">
        <v>20</v>
      </c>
      <c r="S17" s="798">
        <v>10</v>
      </c>
      <c r="T17" s="798">
        <v>10</v>
      </c>
      <c r="U17" s="798">
        <v>10</v>
      </c>
      <c r="V17" s="798">
        <v>10</v>
      </c>
      <c r="W17" s="885">
        <v>10</v>
      </c>
      <c r="X17" s="1208">
        <f t="shared" si="2"/>
        <v>100</v>
      </c>
      <c r="Y17" s="1209"/>
      <c r="Z17" s="497"/>
      <c r="AA17" s="497"/>
      <c r="AB17" s="497"/>
      <c r="AC17" s="497"/>
      <c r="AD17" s="497"/>
      <c r="AE17" s="497"/>
      <c r="AF17" s="497"/>
      <c r="AG17" s="497"/>
      <c r="AH17" s="497"/>
      <c r="AI17" s="497"/>
      <c r="AJ17" s="498"/>
      <c r="AK17" s="499"/>
    </row>
    <row r="18" spans="1:37" ht="75.75" customHeight="1" thickBot="1" x14ac:dyDescent="0.25">
      <c r="A18" s="1268" t="s">
        <v>438</v>
      </c>
      <c r="B18" s="1119" t="str">
        <f>'FORM-2'!E10</f>
        <v xml:space="preserve">
170   mujeres recibieron atención  integral y capacitación técnica, a traves del Programa Defensa y Proteccion de la Mujer IDH 2145.
</v>
      </c>
      <c r="C18" s="1119" t="str">
        <f>'FORM-2'!H10</f>
        <v xml:space="preserve">
170 mujeres beneficiadas con atención integral.
</v>
      </c>
      <c r="D18" s="1113" t="s">
        <v>1158</v>
      </c>
      <c r="E18" s="1112"/>
      <c r="F18" s="769">
        <v>10</v>
      </c>
      <c r="G18" s="826">
        <f>SUM(G19:G36)</f>
        <v>100.00000000000001</v>
      </c>
      <c r="H18" s="1165" t="s">
        <v>1246</v>
      </c>
      <c r="I18" s="1351">
        <v>170</v>
      </c>
      <c r="J18" s="1018">
        <v>44200</v>
      </c>
      <c r="K18" s="1019">
        <v>44561</v>
      </c>
      <c r="L18" s="830">
        <f t="shared" ref="L18:W18" si="7">+(L19*$G$19+L20*$G$20+L21*$G$21+L22*$G$22+L23*$G$23+L24*$G$24+L25*$G$25+L26*$G$26+L27*$G$27+L28*$G$28+L29*$G$29+L30*$G$30+L31*$G$31+L32*$G$32+L33*$G$33+L34*$G$34+L35*$G$35+L36*$G$36)/$G$18</f>
        <v>6.0185185185185173</v>
      </c>
      <c r="M18" s="830">
        <f t="shared" si="7"/>
        <v>14.552035802035801</v>
      </c>
      <c r="N18" s="830">
        <f t="shared" si="7"/>
        <v>22.884199134199132</v>
      </c>
      <c r="O18" s="830">
        <f t="shared" si="7"/>
        <v>14.683140933140933</v>
      </c>
      <c r="P18" s="830">
        <f t="shared" si="7"/>
        <v>6.2803631553631556</v>
      </c>
      <c r="Q18" s="830">
        <f t="shared" si="7"/>
        <v>9.0581409331409333</v>
      </c>
      <c r="R18" s="830">
        <f t="shared" si="7"/>
        <v>3.5025853775853784</v>
      </c>
      <c r="S18" s="830">
        <f t="shared" si="7"/>
        <v>3.5025853775853784</v>
      </c>
      <c r="T18" s="830">
        <f t="shared" si="7"/>
        <v>3.5025853775853784</v>
      </c>
      <c r="U18" s="830">
        <f t="shared" si="7"/>
        <v>3.5025853775853784</v>
      </c>
      <c r="V18" s="830">
        <f t="shared" si="7"/>
        <v>9.0581409331409333</v>
      </c>
      <c r="W18" s="830">
        <f t="shared" si="7"/>
        <v>3.47943722943723</v>
      </c>
      <c r="X18" s="888">
        <f t="shared" si="2"/>
        <v>100.02431814931813</v>
      </c>
      <c r="Y18" s="1209"/>
      <c r="Z18" s="497"/>
      <c r="AA18" s="497"/>
      <c r="AB18" s="497"/>
      <c r="AC18" s="497"/>
      <c r="AD18" s="497"/>
      <c r="AE18" s="497"/>
      <c r="AF18" s="497"/>
      <c r="AG18" s="497"/>
      <c r="AH18" s="497"/>
      <c r="AI18" s="497"/>
      <c r="AJ18" s="498"/>
      <c r="AK18" s="499"/>
    </row>
    <row r="19" spans="1:37" ht="129.75" customHeight="1" x14ac:dyDescent="0.2">
      <c r="A19" s="1243" t="s">
        <v>1139</v>
      </c>
      <c r="B19" s="1223" t="s">
        <v>1111</v>
      </c>
      <c r="C19" s="1010" t="s">
        <v>1355</v>
      </c>
      <c r="D19" s="1011" t="s">
        <v>1157</v>
      </c>
      <c r="E19" s="1012"/>
      <c r="F19" s="1013"/>
      <c r="G19" s="1014">
        <v>5.5555555555555554</v>
      </c>
      <c r="H19" s="1015" t="s">
        <v>777</v>
      </c>
      <c r="I19" s="1355">
        <v>13</v>
      </c>
      <c r="J19" s="1016">
        <v>44200</v>
      </c>
      <c r="K19" s="1017">
        <v>44225</v>
      </c>
      <c r="L19" s="926">
        <v>100</v>
      </c>
      <c r="M19" s="790"/>
      <c r="N19" s="790"/>
      <c r="O19" s="790"/>
      <c r="P19" s="790"/>
      <c r="Q19" s="790"/>
      <c r="R19" s="790"/>
      <c r="S19" s="790"/>
      <c r="T19" s="790"/>
      <c r="U19" s="790"/>
      <c r="V19" s="790"/>
      <c r="W19" s="791"/>
      <c r="X19" s="888">
        <f t="shared" si="2"/>
        <v>100</v>
      </c>
      <c r="Y19" s="1209"/>
      <c r="Z19" s="497"/>
      <c r="AA19" s="497"/>
      <c r="AB19" s="497"/>
      <c r="AC19" s="497"/>
      <c r="AD19" s="497"/>
      <c r="AE19" s="497"/>
      <c r="AF19" s="497"/>
      <c r="AG19" s="497"/>
      <c r="AH19" s="497"/>
      <c r="AI19" s="497"/>
      <c r="AJ19" s="498"/>
      <c r="AK19" s="499"/>
    </row>
    <row r="20" spans="1:37" ht="101.25" customHeight="1" x14ac:dyDescent="0.2">
      <c r="A20" s="1240" t="s">
        <v>1140</v>
      </c>
      <c r="B20" s="1224" t="s">
        <v>1159</v>
      </c>
      <c r="C20" s="741" t="s">
        <v>1112</v>
      </c>
      <c r="D20" s="646" t="s">
        <v>1157</v>
      </c>
      <c r="E20" s="781"/>
      <c r="F20" s="782"/>
      <c r="G20" s="770">
        <v>5.5555555555555554</v>
      </c>
      <c r="H20" s="889" t="s">
        <v>777</v>
      </c>
      <c r="I20" s="1356">
        <v>42</v>
      </c>
      <c r="J20" s="783">
        <v>44228</v>
      </c>
      <c r="K20" s="934">
        <v>44561</v>
      </c>
      <c r="L20" s="788"/>
      <c r="M20" s="779">
        <f>3*2.38095238095238</f>
        <v>7.1428571428571406</v>
      </c>
      <c r="N20" s="779">
        <f t="shared" ref="N20" si="8">3*2.38095238095238</f>
        <v>7.1428571428571406</v>
      </c>
      <c r="O20" s="779">
        <f>4*2.38095238095238</f>
        <v>9.5238095238095202</v>
      </c>
      <c r="P20" s="779">
        <f t="shared" ref="P20:W20" si="9">4*2.38095238095238</f>
        <v>9.5238095238095202</v>
      </c>
      <c r="Q20" s="779">
        <f t="shared" si="9"/>
        <v>9.5238095238095202</v>
      </c>
      <c r="R20" s="779">
        <f t="shared" si="9"/>
        <v>9.5238095238095202</v>
      </c>
      <c r="S20" s="779">
        <f t="shared" si="9"/>
        <v>9.5238095238095202</v>
      </c>
      <c r="T20" s="779">
        <f t="shared" si="9"/>
        <v>9.5238095238095202</v>
      </c>
      <c r="U20" s="779">
        <f t="shared" si="9"/>
        <v>9.5238095238095202</v>
      </c>
      <c r="V20" s="779">
        <f t="shared" si="9"/>
        <v>9.5238095238095202</v>
      </c>
      <c r="W20" s="789">
        <f t="shared" si="9"/>
        <v>9.5238095238095202</v>
      </c>
      <c r="X20" s="888">
        <f t="shared" si="2"/>
        <v>99.999999999999957</v>
      </c>
      <c r="Y20" s="1209"/>
      <c r="Z20" s="497"/>
      <c r="AA20" s="497"/>
      <c r="AB20" s="497"/>
      <c r="AC20" s="497"/>
      <c r="AD20" s="497"/>
      <c r="AE20" s="497"/>
      <c r="AF20" s="497"/>
      <c r="AG20" s="497"/>
      <c r="AH20" s="497"/>
      <c r="AI20" s="497"/>
      <c r="AJ20" s="498"/>
      <c r="AK20" s="499"/>
    </row>
    <row r="21" spans="1:37" ht="55.5" customHeight="1" x14ac:dyDescent="0.2">
      <c r="A21" s="1240" t="s">
        <v>1141</v>
      </c>
      <c r="B21" s="1224" t="s">
        <v>1113</v>
      </c>
      <c r="C21" s="741" t="s">
        <v>1933</v>
      </c>
      <c r="D21" s="646" t="s">
        <v>1157</v>
      </c>
      <c r="E21" s="781"/>
      <c r="F21" s="782"/>
      <c r="G21" s="770">
        <v>5.5555555555555554</v>
      </c>
      <c r="H21" s="889" t="s">
        <v>684</v>
      </c>
      <c r="I21" s="1356">
        <v>12</v>
      </c>
      <c r="J21" s="783">
        <v>44200</v>
      </c>
      <c r="K21" s="934">
        <v>44561</v>
      </c>
      <c r="L21" s="857">
        <f>1*8.33333333333333</f>
        <v>8.3333333333333304</v>
      </c>
      <c r="M21" s="749">
        <f t="shared" ref="M21:W21" si="10">1*8.33333333333333</f>
        <v>8.3333333333333304</v>
      </c>
      <c r="N21" s="749">
        <f t="shared" si="10"/>
        <v>8.3333333333333304</v>
      </c>
      <c r="O21" s="749">
        <f t="shared" si="10"/>
        <v>8.3333333333333304</v>
      </c>
      <c r="P21" s="749">
        <f t="shared" si="10"/>
        <v>8.3333333333333304</v>
      </c>
      <c r="Q21" s="749">
        <f t="shared" si="10"/>
        <v>8.3333333333333304</v>
      </c>
      <c r="R21" s="749">
        <f t="shared" si="10"/>
        <v>8.3333333333333304</v>
      </c>
      <c r="S21" s="749">
        <f t="shared" si="10"/>
        <v>8.3333333333333304</v>
      </c>
      <c r="T21" s="749">
        <f t="shared" si="10"/>
        <v>8.3333333333333304</v>
      </c>
      <c r="U21" s="749">
        <f t="shared" si="10"/>
        <v>8.3333333333333304</v>
      </c>
      <c r="V21" s="749">
        <f t="shared" si="10"/>
        <v>8.3333333333333304</v>
      </c>
      <c r="W21" s="857">
        <f t="shared" si="10"/>
        <v>8.3333333333333304</v>
      </c>
      <c r="X21" s="888">
        <f t="shared" si="2"/>
        <v>99.999999999999957</v>
      </c>
      <c r="Y21" s="1209"/>
      <c r="Z21" s="497"/>
      <c r="AA21" s="497"/>
      <c r="AB21" s="497"/>
      <c r="AC21" s="497"/>
      <c r="AD21" s="497"/>
      <c r="AE21" s="497"/>
      <c r="AF21" s="497"/>
      <c r="AG21" s="497"/>
      <c r="AH21" s="497"/>
      <c r="AI21" s="497"/>
      <c r="AJ21" s="498"/>
      <c r="AK21" s="499"/>
    </row>
    <row r="22" spans="1:37" ht="63" customHeight="1" x14ac:dyDescent="0.2">
      <c r="A22" s="1240" t="s">
        <v>1142</v>
      </c>
      <c r="B22" s="1225" t="s">
        <v>1114</v>
      </c>
      <c r="C22" s="741" t="s">
        <v>1115</v>
      </c>
      <c r="D22" s="646" t="s">
        <v>1157</v>
      </c>
      <c r="E22" s="781"/>
      <c r="F22" s="782"/>
      <c r="G22" s="770">
        <v>5.5555555555555554</v>
      </c>
      <c r="H22" s="889" t="s">
        <v>684</v>
      </c>
      <c r="I22" s="1356">
        <v>1</v>
      </c>
      <c r="J22" s="783">
        <v>44256</v>
      </c>
      <c r="K22" s="934">
        <v>44286</v>
      </c>
      <c r="L22" s="788"/>
      <c r="M22" s="749"/>
      <c r="N22" s="749">
        <v>100</v>
      </c>
      <c r="O22" s="749"/>
      <c r="P22" s="749"/>
      <c r="Q22" s="749"/>
      <c r="R22" s="749"/>
      <c r="S22" s="749"/>
      <c r="T22" s="749"/>
      <c r="U22" s="749"/>
      <c r="V22" s="749"/>
      <c r="W22" s="792"/>
      <c r="X22" s="888">
        <f t="shared" si="2"/>
        <v>100</v>
      </c>
      <c r="Y22" s="1209"/>
      <c r="Z22" s="497"/>
      <c r="AA22" s="497"/>
      <c r="AB22" s="497"/>
      <c r="AC22" s="497"/>
      <c r="AD22" s="497"/>
      <c r="AE22" s="497"/>
      <c r="AF22" s="497"/>
      <c r="AG22" s="497"/>
      <c r="AH22" s="497"/>
      <c r="AI22" s="497"/>
      <c r="AJ22" s="498"/>
      <c r="AK22" s="499"/>
    </row>
    <row r="23" spans="1:37" ht="63" customHeight="1" x14ac:dyDescent="0.2">
      <c r="A23" s="1240" t="s">
        <v>1143</v>
      </c>
      <c r="B23" s="1225" t="s">
        <v>1138</v>
      </c>
      <c r="C23" s="741" t="s">
        <v>1116</v>
      </c>
      <c r="D23" s="646" t="s">
        <v>1157</v>
      </c>
      <c r="E23" s="781"/>
      <c r="F23" s="782"/>
      <c r="G23" s="770">
        <v>5.5555555555555554</v>
      </c>
      <c r="H23" s="889" t="s">
        <v>777</v>
      </c>
      <c r="I23" s="1356">
        <v>1</v>
      </c>
      <c r="J23" s="783">
        <v>44228</v>
      </c>
      <c r="K23" s="934">
        <v>44253</v>
      </c>
      <c r="L23" s="788"/>
      <c r="M23" s="749">
        <v>100</v>
      </c>
      <c r="N23" s="793"/>
      <c r="O23" s="793"/>
      <c r="P23" s="749"/>
      <c r="Q23" s="749"/>
      <c r="R23" s="749"/>
      <c r="S23" s="749"/>
      <c r="T23" s="749"/>
      <c r="U23" s="749"/>
      <c r="V23" s="749"/>
      <c r="W23" s="792"/>
      <c r="X23" s="888">
        <f t="shared" si="2"/>
        <v>100</v>
      </c>
      <c r="Y23" s="1209"/>
      <c r="Z23" s="497"/>
      <c r="AA23" s="497"/>
      <c r="AB23" s="497"/>
      <c r="AC23" s="497"/>
      <c r="AD23" s="497"/>
      <c r="AE23" s="497"/>
      <c r="AF23" s="497"/>
      <c r="AG23" s="497"/>
      <c r="AH23" s="497"/>
      <c r="AI23" s="497"/>
      <c r="AJ23" s="498"/>
      <c r="AK23" s="499"/>
    </row>
    <row r="24" spans="1:37" ht="73.5" customHeight="1" x14ac:dyDescent="0.2">
      <c r="A24" s="1240" t="s">
        <v>1144</v>
      </c>
      <c r="B24" s="1225" t="s">
        <v>1117</v>
      </c>
      <c r="C24" s="741" t="s">
        <v>1118</v>
      </c>
      <c r="D24" s="646" t="s">
        <v>1157</v>
      </c>
      <c r="E24" s="781"/>
      <c r="F24" s="782"/>
      <c r="G24" s="770">
        <v>5.5555555555555554</v>
      </c>
      <c r="H24" s="889" t="s">
        <v>777</v>
      </c>
      <c r="I24" s="1356">
        <v>2</v>
      </c>
      <c r="J24" s="783">
        <v>44228</v>
      </c>
      <c r="K24" s="934">
        <v>44253</v>
      </c>
      <c r="L24" s="788"/>
      <c r="M24" s="749">
        <v>100</v>
      </c>
      <c r="N24" s="793"/>
      <c r="O24" s="793"/>
      <c r="P24" s="749"/>
      <c r="Q24" s="749"/>
      <c r="R24" s="749"/>
      <c r="S24" s="749"/>
      <c r="T24" s="749"/>
      <c r="U24" s="749"/>
      <c r="V24" s="749"/>
      <c r="W24" s="792"/>
      <c r="X24" s="888">
        <f t="shared" si="2"/>
        <v>100</v>
      </c>
      <c r="Y24" s="1209"/>
      <c r="Z24" s="497"/>
      <c r="AA24" s="497"/>
      <c r="AB24" s="497"/>
      <c r="AC24" s="497"/>
      <c r="AD24" s="497"/>
      <c r="AE24" s="497"/>
      <c r="AF24" s="497"/>
      <c r="AG24" s="497"/>
      <c r="AH24" s="497"/>
      <c r="AI24" s="497"/>
      <c r="AJ24" s="498"/>
      <c r="AK24" s="499"/>
    </row>
    <row r="25" spans="1:37" ht="72" customHeight="1" x14ac:dyDescent="0.2">
      <c r="A25" s="1240" t="s">
        <v>1145</v>
      </c>
      <c r="B25" s="1225" t="s">
        <v>1119</v>
      </c>
      <c r="C25" s="741" t="s">
        <v>1118</v>
      </c>
      <c r="D25" s="646" t="s">
        <v>1157</v>
      </c>
      <c r="E25" s="781"/>
      <c r="F25" s="782"/>
      <c r="G25" s="770">
        <v>5.5555555555555554</v>
      </c>
      <c r="H25" s="889" t="s">
        <v>777</v>
      </c>
      <c r="I25" s="1356">
        <v>2</v>
      </c>
      <c r="J25" s="783">
        <v>44256</v>
      </c>
      <c r="K25" s="934">
        <v>44286</v>
      </c>
      <c r="L25" s="788"/>
      <c r="M25" s="749"/>
      <c r="N25" s="793">
        <v>100</v>
      </c>
      <c r="O25" s="793"/>
      <c r="P25" s="749"/>
      <c r="Q25" s="749"/>
      <c r="R25" s="749"/>
      <c r="S25" s="749"/>
      <c r="T25" s="749"/>
      <c r="U25" s="749"/>
      <c r="V25" s="749"/>
      <c r="W25" s="792"/>
      <c r="X25" s="888">
        <f t="shared" si="2"/>
        <v>100</v>
      </c>
      <c r="Y25" s="1209"/>
      <c r="Z25" s="497"/>
      <c r="AA25" s="497"/>
      <c r="AB25" s="497"/>
      <c r="AC25" s="497"/>
      <c r="AD25" s="497"/>
      <c r="AE25" s="497"/>
      <c r="AF25" s="497"/>
      <c r="AG25" s="497"/>
      <c r="AH25" s="497"/>
      <c r="AI25" s="497"/>
      <c r="AJ25" s="498"/>
      <c r="AK25" s="499"/>
    </row>
    <row r="26" spans="1:37" ht="63.75" customHeight="1" x14ac:dyDescent="0.2">
      <c r="A26" s="1240" t="s">
        <v>1146</v>
      </c>
      <c r="B26" s="1225" t="s">
        <v>1120</v>
      </c>
      <c r="C26" s="741" t="s">
        <v>1121</v>
      </c>
      <c r="D26" s="646" t="s">
        <v>1157</v>
      </c>
      <c r="E26" s="781"/>
      <c r="F26" s="782"/>
      <c r="G26" s="770">
        <v>5.5555555555555554</v>
      </c>
      <c r="H26" s="889" t="s">
        <v>684</v>
      </c>
      <c r="I26" s="1356">
        <v>1</v>
      </c>
      <c r="J26" s="783">
        <v>44256</v>
      </c>
      <c r="K26" s="934">
        <v>44286</v>
      </c>
      <c r="L26" s="788"/>
      <c r="M26" s="749"/>
      <c r="N26" s="793">
        <v>100</v>
      </c>
      <c r="O26" s="793"/>
      <c r="P26" s="749"/>
      <c r="Q26" s="749"/>
      <c r="R26" s="749"/>
      <c r="S26" s="749"/>
      <c r="T26" s="749"/>
      <c r="U26" s="749"/>
      <c r="V26" s="749"/>
      <c r="W26" s="792"/>
      <c r="X26" s="888">
        <f t="shared" si="2"/>
        <v>100</v>
      </c>
      <c r="Y26" s="1209"/>
      <c r="Z26" s="497"/>
      <c r="AA26" s="497"/>
      <c r="AB26" s="497"/>
      <c r="AC26" s="497"/>
      <c r="AD26" s="497"/>
      <c r="AE26" s="497"/>
      <c r="AF26" s="497"/>
      <c r="AG26" s="497"/>
      <c r="AH26" s="497"/>
      <c r="AI26" s="497"/>
      <c r="AJ26" s="498"/>
      <c r="AK26" s="499"/>
    </row>
    <row r="27" spans="1:37" ht="73.5" customHeight="1" x14ac:dyDescent="0.2">
      <c r="A27" s="1240" t="s">
        <v>1147</v>
      </c>
      <c r="B27" s="1225" t="s">
        <v>1122</v>
      </c>
      <c r="C27" s="741" t="s">
        <v>1118</v>
      </c>
      <c r="D27" s="646" t="s">
        <v>1157</v>
      </c>
      <c r="E27" s="781"/>
      <c r="F27" s="782"/>
      <c r="G27" s="770">
        <v>5.5555555555555554</v>
      </c>
      <c r="H27" s="889" t="s">
        <v>777</v>
      </c>
      <c r="I27" s="1356">
        <v>2</v>
      </c>
      <c r="J27" s="783">
        <v>44287</v>
      </c>
      <c r="K27" s="934">
        <v>44316</v>
      </c>
      <c r="L27" s="927"/>
      <c r="M27" s="776"/>
      <c r="N27" s="776"/>
      <c r="O27" s="794">
        <v>100</v>
      </c>
      <c r="P27" s="776"/>
      <c r="Q27" s="776"/>
      <c r="R27" s="776"/>
      <c r="S27" s="776"/>
      <c r="T27" s="776"/>
      <c r="U27" s="776"/>
      <c r="V27" s="776"/>
      <c r="W27" s="795"/>
      <c r="X27" s="888">
        <f t="shared" si="2"/>
        <v>100</v>
      </c>
      <c r="Y27" s="1209"/>
      <c r="Z27" s="497"/>
      <c r="AA27" s="497"/>
      <c r="AB27" s="497"/>
      <c r="AC27" s="497"/>
      <c r="AD27" s="497"/>
      <c r="AE27" s="497"/>
      <c r="AF27" s="497"/>
      <c r="AG27" s="497"/>
      <c r="AH27" s="497"/>
      <c r="AI27" s="497"/>
      <c r="AJ27" s="498"/>
      <c r="AK27" s="499"/>
    </row>
    <row r="28" spans="1:37" ht="73.5" customHeight="1" x14ac:dyDescent="0.2">
      <c r="A28" s="1240" t="s">
        <v>1148</v>
      </c>
      <c r="B28" s="1225" t="s">
        <v>1123</v>
      </c>
      <c r="C28" s="741" t="s">
        <v>1118</v>
      </c>
      <c r="D28" s="646" t="s">
        <v>1157</v>
      </c>
      <c r="E28" s="781"/>
      <c r="F28" s="782"/>
      <c r="G28" s="770">
        <v>5.5555555555555554</v>
      </c>
      <c r="H28" s="889" t="s">
        <v>777</v>
      </c>
      <c r="I28" s="1356">
        <v>2</v>
      </c>
      <c r="J28" s="783">
        <v>44319</v>
      </c>
      <c r="K28" s="934">
        <v>44012</v>
      </c>
      <c r="L28" s="788"/>
      <c r="M28" s="749"/>
      <c r="N28" s="749"/>
      <c r="O28" s="749"/>
      <c r="P28" s="749">
        <v>50</v>
      </c>
      <c r="Q28" s="749">
        <v>50</v>
      </c>
      <c r="R28" s="749"/>
      <c r="S28" s="749"/>
      <c r="T28" s="749"/>
      <c r="U28" s="749"/>
      <c r="V28" s="749"/>
      <c r="W28" s="792"/>
      <c r="X28" s="888">
        <f t="shared" si="2"/>
        <v>100</v>
      </c>
      <c r="Y28" s="1209"/>
      <c r="Z28" s="497"/>
      <c r="AA28" s="497"/>
      <c r="AB28" s="497"/>
      <c r="AC28" s="497"/>
      <c r="AD28" s="497"/>
      <c r="AE28" s="497"/>
      <c r="AF28" s="497"/>
      <c r="AG28" s="497"/>
      <c r="AH28" s="497"/>
      <c r="AI28" s="497"/>
      <c r="AJ28" s="498"/>
      <c r="AK28" s="499"/>
    </row>
    <row r="29" spans="1:37" ht="73.5" customHeight="1" x14ac:dyDescent="0.2">
      <c r="A29" s="1240" t="s">
        <v>1149</v>
      </c>
      <c r="B29" s="1225" t="s">
        <v>1124</v>
      </c>
      <c r="C29" s="741" t="s">
        <v>1118</v>
      </c>
      <c r="D29" s="646" t="s">
        <v>1157</v>
      </c>
      <c r="E29" s="781"/>
      <c r="F29" s="782"/>
      <c r="G29" s="770">
        <v>5.5555555555555554</v>
      </c>
      <c r="H29" s="889" t="s">
        <v>777</v>
      </c>
      <c r="I29" s="1356">
        <v>2</v>
      </c>
      <c r="J29" s="783">
        <v>44256</v>
      </c>
      <c r="K29" s="934">
        <v>44377</v>
      </c>
      <c r="L29" s="788"/>
      <c r="M29" s="749"/>
      <c r="N29" s="749">
        <v>50</v>
      </c>
      <c r="O29" s="749"/>
      <c r="P29" s="749"/>
      <c r="Q29" s="749">
        <v>50</v>
      </c>
      <c r="R29" s="749"/>
      <c r="S29" s="749"/>
      <c r="T29" s="749"/>
      <c r="U29" s="749"/>
      <c r="V29" s="749"/>
      <c r="W29" s="792"/>
      <c r="X29" s="888">
        <f t="shared" si="2"/>
        <v>100</v>
      </c>
      <c r="Y29" s="1209"/>
      <c r="Z29" s="497"/>
      <c r="AA29" s="497"/>
      <c r="AB29" s="497"/>
      <c r="AC29" s="497"/>
      <c r="AD29" s="497"/>
      <c r="AE29" s="497"/>
      <c r="AF29" s="497"/>
      <c r="AG29" s="497"/>
      <c r="AH29" s="497"/>
      <c r="AI29" s="497"/>
      <c r="AJ29" s="498"/>
      <c r="AK29" s="499"/>
    </row>
    <row r="30" spans="1:37" ht="63.75" customHeight="1" x14ac:dyDescent="0.2">
      <c r="A30" s="1240" t="s">
        <v>1150</v>
      </c>
      <c r="B30" s="1224" t="s">
        <v>1125</v>
      </c>
      <c r="C30" s="741" t="s">
        <v>1121</v>
      </c>
      <c r="D30" s="646" t="s">
        <v>1157</v>
      </c>
      <c r="E30" s="781"/>
      <c r="F30" s="782"/>
      <c r="G30" s="770">
        <v>5.5555555555555554</v>
      </c>
      <c r="H30" s="889" t="s">
        <v>777</v>
      </c>
      <c r="I30" s="1356">
        <v>1</v>
      </c>
      <c r="J30" s="783">
        <v>44287</v>
      </c>
      <c r="K30" s="934">
        <v>44316</v>
      </c>
      <c r="L30" s="788"/>
      <c r="M30" s="749"/>
      <c r="N30" s="749"/>
      <c r="O30" s="749">
        <v>100</v>
      </c>
      <c r="P30" s="749"/>
      <c r="Q30" s="749"/>
      <c r="R30" s="749"/>
      <c r="S30" s="749"/>
      <c r="T30" s="749"/>
      <c r="U30" s="749"/>
      <c r="V30" s="749"/>
      <c r="W30" s="792"/>
      <c r="X30" s="888">
        <f t="shared" si="2"/>
        <v>100</v>
      </c>
      <c r="Y30" s="1209"/>
      <c r="Z30" s="497"/>
      <c r="AA30" s="497"/>
      <c r="AB30" s="497"/>
      <c r="AC30" s="497"/>
      <c r="AD30" s="497"/>
      <c r="AE30" s="497"/>
      <c r="AF30" s="497"/>
      <c r="AG30" s="497"/>
      <c r="AH30" s="497"/>
      <c r="AI30" s="497"/>
      <c r="AJ30" s="498"/>
      <c r="AK30" s="499"/>
    </row>
    <row r="31" spans="1:37" ht="73.5" customHeight="1" x14ac:dyDescent="0.2">
      <c r="A31" s="1240" t="s">
        <v>1151</v>
      </c>
      <c r="B31" s="1224" t="s">
        <v>1160</v>
      </c>
      <c r="C31" s="741" t="s">
        <v>1126</v>
      </c>
      <c r="D31" s="646" t="s">
        <v>1157</v>
      </c>
      <c r="E31" s="784"/>
      <c r="F31" s="782"/>
      <c r="G31" s="770">
        <v>5.5555555555555554</v>
      </c>
      <c r="H31" s="890" t="s">
        <v>575</v>
      </c>
      <c r="I31" s="1356">
        <v>22</v>
      </c>
      <c r="J31" s="937">
        <v>44228</v>
      </c>
      <c r="K31" s="934">
        <v>44561</v>
      </c>
      <c r="L31" s="928"/>
      <c r="M31" s="779">
        <f>2*4.54545454545455</f>
        <v>9.0909090909091006</v>
      </c>
      <c r="N31" s="779">
        <f t="shared" ref="N31:W34" si="11">2*4.54545454545455</f>
        <v>9.0909090909091006</v>
      </c>
      <c r="O31" s="779">
        <f t="shared" si="11"/>
        <v>9.0909090909091006</v>
      </c>
      <c r="P31" s="779">
        <f t="shared" si="11"/>
        <v>9.0909090909091006</v>
      </c>
      <c r="Q31" s="779">
        <f t="shared" si="11"/>
        <v>9.0909090909091006</v>
      </c>
      <c r="R31" s="779">
        <f t="shared" si="11"/>
        <v>9.0909090909091006</v>
      </c>
      <c r="S31" s="779">
        <f t="shared" si="11"/>
        <v>9.0909090909091006</v>
      </c>
      <c r="T31" s="779">
        <f t="shared" si="11"/>
        <v>9.0909090909091006</v>
      </c>
      <c r="U31" s="779">
        <f t="shared" si="11"/>
        <v>9.0909090909091006</v>
      </c>
      <c r="V31" s="779">
        <f t="shared" si="11"/>
        <v>9.0909090909091006</v>
      </c>
      <c r="W31" s="789">
        <f t="shared" si="11"/>
        <v>9.0909090909091006</v>
      </c>
      <c r="X31" s="888">
        <f t="shared" si="2"/>
        <v>100.00000000000009</v>
      </c>
      <c r="Y31" s="1209"/>
      <c r="Z31" s="497"/>
      <c r="AA31" s="497"/>
      <c r="AB31" s="497"/>
      <c r="AC31" s="497"/>
      <c r="AD31" s="497"/>
      <c r="AE31" s="497"/>
      <c r="AF31" s="497"/>
      <c r="AG31" s="497"/>
      <c r="AH31" s="497"/>
      <c r="AI31" s="497"/>
      <c r="AJ31" s="498"/>
      <c r="AK31" s="499"/>
    </row>
    <row r="32" spans="1:37" ht="51" customHeight="1" x14ac:dyDescent="0.2">
      <c r="A32" s="1240" t="s">
        <v>1152</v>
      </c>
      <c r="B32" s="1224" t="s">
        <v>1127</v>
      </c>
      <c r="C32" s="741" t="s">
        <v>1128</v>
      </c>
      <c r="D32" s="646" t="s">
        <v>1157</v>
      </c>
      <c r="E32" s="784"/>
      <c r="F32" s="782"/>
      <c r="G32" s="770">
        <v>5.5555555555555554</v>
      </c>
      <c r="H32" s="890" t="s">
        <v>1129</v>
      </c>
      <c r="I32" s="1356">
        <v>240</v>
      </c>
      <c r="J32" s="937">
        <v>44228</v>
      </c>
      <c r="K32" s="934">
        <v>44561</v>
      </c>
      <c r="L32" s="788"/>
      <c r="M32" s="779">
        <f>22*0.416666666666667</f>
        <v>9.166666666666675</v>
      </c>
      <c r="N32" s="779">
        <f t="shared" ref="N32:V32" si="12">22*0.416666666666667</f>
        <v>9.166666666666675</v>
      </c>
      <c r="O32" s="779">
        <f t="shared" si="12"/>
        <v>9.166666666666675</v>
      </c>
      <c r="P32" s="779">
        <f t="shared" si="12"/>
        <v>9.166666666666675</v>
      </c>
      <c r="Q32" s="779">
        <f t="shared" si="12"/>
        <v>9.166666666666675</v>
      </c>
      <c r="R32" s="779">
        <f t="shared" si="12"/>
        <v>9.166666666666675</v>
      </c>
      <c r="S32" s="779">
        <f t="shared" si="12"/>
        <v>9.166666666666675</v>
      </c>
      <c r="T32" s="779">
        <f t="shared" si="12"/>
        <v>9.166666666666675</v>
      </c>
      <c r="U32" s="779">
        <f t="shared" si="12"/>
        <v>9.166666666666675</v>
      </c>
      <c r="V32" s="779">
        <f t="shared" si="12"/>
        <v>9.166666666666675</v>
      </c>
      <c r="W32" s="779">
        <f>21*0.416666666666667</f>
        <v>8.7500000000000071</v>
      </c>
      <c r="X32" s="888">
        <f t="shared" si="2"/>
        <v>100.41666666666674</v>
      </c>
      <c r="Y32" s="1209"/>
      <c r="Z32" s="497"/>
      <c r="AA32" s="497"/>
      <c r="AB32" s="497"/>
      <c r="AC32" s="497"/>
      <c r="AD32" s="497"/>
      <c r="AE32" s="497"/>
      <c r="AF32" s="497"/>
      <c r="AG32" s="497"/>
      <c r="AH32" s="497"/>
      <c r="AI32" s="497"/>
      <c r="AJ32" s="498"/>
      <c r="AK32" s="499"/>
    </row>
    <row r="33" spans="1:37" ht="153.75" customHeight="1" x14ac:dyDescent="0.2">
      <c r="A33" s="1240" t="s">
        <v>1153</v>
      </c>
      <c r="B33" s="1224" t="s">
        <v>1130</v>
      </c>
      <c r="C33" s="741" t="s">
        <v>1934</v>
      </c>
      <c r="D33" s="646" t="s">
        <v>1157</v>
      </c>
      <c r="E33" s="784"/>
      <c r="F33" s="782"/>
      <c r="G33" s="770">
        <v>5.5555555555555554</v>
      </c>
      <c r="H33" s="890" t="s">
        <v>1131</v>
      </c>
      <c r="I33" s="1356">
        <v>1958</v>
      </c>
      <c r="J33" s="937">
        <v>44228</v>
      </c>
      <c r="K33" s="934">
        <v>44561</v>
      </c>
      <c r="L33" s="929"/>
      <c r="M33" s="779">
        <f>178*0.0510725229826353</f>
        <v>9.0909090909090828</v>
      </c>
      <c r="N33" s="779">
        <f t="shared" si="11"/>
        <v>9.0909090909091006</v>
      </c>
      <c r="O33" s="779">
        <f t="shared" si="11"/>
        <v>9.0909090909091006</v>
      </c>
      <c r="P33" s="779">
        <f t="shared" si="11"/>
        <v>9.0909090909091006</v>
      </c>
      <c r="Q33" s="779">
        <f t="shared" si="11"/>
        <v>9.0909090909091006</v>
      </c>
      <c r="R33" s="779">
        <f t="shared" si="11"/>
        <v>9.0909090909091006</v>
      </c>
      <c r="S33" s="779">
        <f t="shared" si="11"/>
        <v>9.0909090909091006</v>
      </c>
      <c r="T33" s="779">
        <f t="shared" si="11"/>
        <v>9.0909090909091006</v>
      </c>
      <c r="U33" s="779">
        <f t="shared" si="11"/>
        <v>9.0909090909091006</v>
      </c>
      <c r="V33" s="779">
        <f t="shared" si="11"/>
        <v>9.0909090909091006</v>
      </c>
      <c r="W33" s="789">
        <f t="shared" si="11"/>
        <v>9.0909090909091006</v>
      </c>
      <c r="X33" s="888">
        <f t="shared" si="2"/>
        <v>100.00000000000009</v>
      </c>
      <c r="Y33" s="1209"/>
      <c r="Z33" s="497"/>
      <c r="AA33" s="497"/>
      <c r="AB33" s="497"/>
      <c r="AC33" s="497"/>
      <c r="AD33" s="497"/>
      <c r="AE33" s="497"/>
      <c r="AF33" s="497"/>
      <c r="AG33" s="497"/>
      <c r="AH33" s="497"/>
      <c r="AI33" s="497"/>
      <c r="AJ33" s="498"/>
      <c r="AK33" s="499"/>
    </row>
    <row r="34" spans="1:37" ht="125.25" customHeight="1" x14ac:dyDescent="0.2">
      <c r="A34" s="1240" t="s">
        <v>1154</v>
      </c>
      <c r="B34" s="1224" t="s">
        <v>1132</v>
      </c>
      <c r="C34" s="741" t="s">
        <v>1935</v>
      </c>
      <c r="D34" s="646" t="s">
        <v>1157</v>
      </c>
      <c r="E34" s="784"/>
      <c r="F34" s="782"/>
      <c r="G34" s="770">
        <v>5.5555555555555554</v>
      </c>
      <c r="H34" s="890" t="s">
        <v>1133</v>
      </c>
      <c r="I34" s="1356">
        <v>1295</v>
      </c>
      <c r="J34" s="937">
        <v>44228</v>
      </c>
      <c r="K34" s="934">
        <v>44560</v>
      </c>
      <c r="L34" s="788"/>
      <c r="M34" s="779">
        <f>118*0.0772200772200772</f>
        <v>9.1119691119691097</v>
      </c>
      <c r="N34" s="779">
        <f t="shared" si="11"/>
        <v>9.0909090909091006</v>
      </c>
      <c r="O34" s="779">
        <f t="shared" si="11"/>
        <v>9.0909090909091006</v>
      </c>
      <c r="P34" s="779">
        <f t="shared" si="11"/>
        <v>9.0909090909091006</v>
      </c>
      <c r="Q34" s="779">
        <f t="shared" si="11"/>
        <v>9.0909090909091006</v>
      </c>
      <c r="R34" s="779">
        <f t="shared" si="11"/>
        <v>9.0909090909091006</v>
      </c>
      <c r="S34" s="779">
        <f t="shared" si="11"/>
        <v>9.0909090909091006</v>
      </c>
      <c r="T34" s="779">
        <f t="shared" si="11"/>
        <v>9.0909090909091006</v>
      </c>
      <c r="U34" s="779">
        <f t="shared" si="11"/>
        <v>9.0909090909091006</v>
      </c>
      <c r="V34" s="779">
        <f t="shared" si="11"/>
        <v>9.0909090909091006</v>
      </c>
      <c r="W34" s="789">
        <f t="shared" si="11"/>
        <v>9.0909090909091006</v>
      </c>
      <c r="X34" s="888">
        <f t="shared" si="2"/>
        <v>100.02106002106009</v>
      </c>
      <c r="Y34" s="1209"/>
      <c r="Z34" s="497"/>
      <c r="AA34" s="497"/>
      <c r="AB34" s="497"/>
      <c r="AC34" s="497"/>
      <c r="AD34" s="497"/>
      <c r="AE34" s="497"/>
      <c r="AF34" s="497"/>
      <c r="AG34" s="497"/>
      <c r="AH34" s="497"/>
      <c r="AI34" s="497"/>
      <c r="AJ34" s="498"/>
      <c r="AK34" s="499"/>
    </row>
    <row r="35" spans="1:37" ht="54" customHeight="1" x14ac:dyDescent="0.2">
      <c r="A35" s="1240" t="s">
        <v>1155</v>
      </c>
      <c r="B35" s="1226" t="s">
        <v>1134</v>
      </c>
      <c r="C35" s="787" t="s">
        <v>1135</v>
      </c>
      <c r="D35" s="646" t="s">
        <v>1936</v>
      </c>
      <c r="E35" s="785"/>
      <c r="F35" s="786"/>
      <c r="G35" s="770">
        <v>5.5555555555555554</v>
      </c>
      <c r="H35" s="890" t="s">
        <v>575</v>
      </c>
      <c r="I35" s="1357">
        <v>80</v>
      </c>
      <c r="J35" s="937">
        <v>44228</v>
      </c>
      <c r="K35" s="934">
        <v>44561</v>
      </c>
      <c r="L35" s="788"/>
      <c r="M35" s="788">
        <f t="shared" ref="M35:O35" si="13">8*1.25</f>
        <v>10</v>
      </c>
      <c r="N35" s="788">
        <f t="shared" si="13"/>
        <v>10</v>
      </c>
      <c r="O35" s="788">
        <f t="shared" si="13"/>
        <v>10</v>
      </c>
      <c r="P35" s="788">
        <f t="shared" ref="P35:W35" si="14">7*1.25</f>
        <v>8.75</v>
      </c>
      <c r="Q35" s="788">
        <f t="shared" si="14"/>
        <v>8.75</v>
      </c>
      <c r="R35" s="788">
        <f t="shared" si="14"/>
        <v>8.75</v>
      </c>
      <c r="S35" s="788">
        <f t="shared" si="14"/>
        <v>8.75</v>
      </c>
      <c r="T35" s="788">
        <f t="shared" si="14"/>
        <v>8.75</v>
      </c>
      <c r="U35" s="788">
        <f t="shared" si="14"/>
        <v>8.75</v>
      </c>
      <c r="V35" s="788">
        <f t="shared" si="14"/>
        <v>8.75</v>
      </c>
      <c r="W35" s="788">
        <f t="shared" si="14"/>
        <v>8.75</v>
      </c>
      <c r="X35" s="888">
        <f t="shared" si="2"/>
        <v>100</v>
      </c>
      <c r="Y35" s="1209"/>
      <c r="Z35" s="497"/>
      <c r="AA35" s="497"/>
      <c r="AB35" s="497"/>
      <c r="AC35" s="497"/>
      <c r="AD35" s="497"/>
      <c r="AE35" s="497"/>
      <c r="AF35" s="497"/>
      <c r="AG35" s="497"/>
      <c r="AH35" s="497"/>
      <c r="AI35" s="497"/>
      <c r="AJ35" s="498"/>
      <c r="AK35" s="499"/>
    </row>
    <row r="36" spans="1:37" ht="55.5" customHeight="1" thickBot="1" x14ac:dyDescent="0.25">
      <c r="A36" s="1241" t="s">
        <v>1156</v>
      </c>
      <c r="B36" s="1227" t="s">
        <v>1136</v>
      </c>
      <c r="C36" s="810" t="s">
        <v>1247</v>
      </c>
      <c r="D36" s="811" t="s">
        <v>1936</v>
      </c>
      <c r="E36" s="812"/>
      <c r="F36" s="813"/>
      <c r="G36" s="771">
        <v>5.5555555555555554</v>
      </c>
      <c r="H36" s="891" t="s">
        <v>575</v>
      </c>
      <c r="I36" s="1358">
        <v>1</v>
      </c>
      <c r="J36" s="1120">
        <v>44503</v>
      </c>
      <c r="K36" s="1121">
        <v>44530</v>
      </c>
      <c r="L36" s="930"/>
      <c r="M36" s="814"/>
      <c r="N36" s="814"/>
      <c r="O36" s="814"/>
      <c r="P36" s="814"/>
      <c r="Q36" s="814"/>
      <c r="R36" s="814"/>
      <c r="S36" s="814"/>
      <c r="T36" s="814"/>
      <c r="U36" s="814"/>
      <c r="V36" s="814">
        <v>100</v>
      </c>
      <c r="W36" s="815"/>
      <c r="X36" s="1214">
        <f t="shared" si="2"/>
        <v>100</v>
      </c>
      <c r="Y36" s="1209"/>
      <c r="Z36" s="497"/>
      <c r="AA36" s="497"/>
      <c r="AB36" s="497"/>
      <c r="AC36" s="497"/>
      <c r="AD36" s="497"/>
      <c r="AE36" s="497"/>
      <c r="AF36" s="497"/>
      <c r="AG36" s="497"/>
      <c r="AH36" s="497"/>
      <c r="AI36" s="497"/>
      <c r="AJ36" s="498"/>
      <c r="AK36" s="499"/>
    </row>
    <row r="37" spans="1:37" ht="120.75" customHeight="1" thickBot="1" x14ac:dyDescent="0.25">
      <c r="A37" s="1269" t="s">
        <v>439</v>
      </c>
      <c r="B37" s="1248" t="s">
        <v>1580</v>
      </c>
      <c r="C37" s="1249" t="s">
        <v>1580</v>
      </c>
      <c r="D37" s="1252" t="s">
        <v>1610</v>
      </c>
      <c r="E37" s="1244"/>
      <c r="F37" s="1245">
        <v>10</v>
      </c>
      <c r="G37" s="1246">
        <v>100</v>
      </c>
      <c r="H37" s="1247" t="s">
        <v>1611</v>
      </c>
      <c r="I37" s="1359"/>
      <c r="J37" s="1018">
        <v>44200</v>
      </c>
      <c r="K37" s="1322">
        <v>44560</v>
      </c>
      <c r="L37" s="1221">
        <f>+(L38*$G$38+L39*$G$39+L40*$G$40+L41*$G$41+L42*$G$42+L43*$G$43+L44*$G$44+L45*$G$45+L46*$G$46+L47*$G$47+L48*$G$48+L49*$G$49+L50*$G$50+L51*$G$51+L52*$G$52+L53*$G$53+L54*$G$54+L55*$G$55+L56*$G$56+L57*$G$57+L58*$G$58+L59*$G$59+L60*$G$60+L61*$G$61+L62*$G$62+L63*$G$63+L64*$G$64+L65*$G$65+L66*$G$66)/$G$37</f>
        <v>7.8342407743496638</v>
      </c>
      <c r="M37" s="839">
        <f t="shared" ref="M37:W37" si="15">+(M38*$G$38+M39*$G$39+M40*$G$40+M41*$G$41+M42*$G$42+M43*$G$43+M44*$G$44+M45*$G$45+M46*$G$46+M47*$G$47+M48*$G$48+M49*$G$49+M50*$G$50+M51*$G$51+M52*$G$52+M53*$G$53+M54*$G$54+M55*$G$55+M56*$G$56+M57*$G$57+M58*$G$58+M59*$G$59+M60*$G$60+M61*$G$61+M62*$G$62+M63*$G$63+M64*$G$64+M65*$G$65+M66*$G$66)/$G$37</f>
        <v>8.3514821536600099</v>
      </c>
      <c r="N37" s="839">
        <f t="shared" si="15"/>
        <v>9.2135511191772501</v>
      </c>
      <c r="O37" s="839">
        <f t="shared" si="15"/>
        <v>7.4894131881427679</v>
      </c>
      <c r="P37" s="839">
        <f t="shared" si="15"/>
        <v>8.3514821536600099</v>
      </c>
      <c r="Q37" s="839">
        <f t="shared" si="15"/>
        <v>10.691383631492524</v>
      </c>
      <c r="R37" s="839">
        <f t="shared" si="15"/>
        <v>9.2135511191772501</v>
      </c>
      <c r="S37" s="839">
        <f t="shared" si="15"/>
        <v>8.3514821536600099</v>
      </c>
      <c r="T37" s="839">
        <f t="shared" si="15"/>
        <v>7.3079249848759797</v>
      </c>
      <c r="U37" s="839">
        <f t="shared" si="15"/>
        <v>7.3079249848759797</v>
      </c>
      <c r="V37" s="839">
        <f t="shared" si="15"/>
        <v>8.1699939503932217</v>
      </c>
      <c r="W37" s="1222">
        <f t="shared" si="15"/>
        <v>7.7175697865353046</v>
      </c>
      <c r="X37" s="1217">
        <f t="shared" si="2"/>
        <v>99.999999999999986</v>
      </c>
      <c r="Y37" s="1209"/>
      <c r="Z37" s="497"/>
      <c r="AA37" s="497"/>
      <c r="AB37" s="497"/>
      <c r="AC37" s="497"/>
      <c r="AD37" s="497"/>
      <c r="AE37" s="497"/>
      <c r="AF37" s="497"/>
      <c r="AG37" s="497"/>
      <c r="AH37" s="497"/>
      <c r="AI37" s="497"/>
      <c r="AJ37" s="498"/>
      <c r="AK37" s="499"/>
    </row>
    <row r="38" spans="1:37" ht="81" customHeight="1" x14ac:dyDescent="0.2">
      <c r="A38" s="1243" t="s">
        <v>1581</v>
      </c>
      <c r="B38" s="1250" t="s">
        <v>601</v>
      </c>
      <c r="C38" s="674" t="s">
        <v>1892</v>
      </c>
      <c r="D38" s="648" t="s">
        <v>602</v>
      </c>
      <c r="E38" s="610"/>
      <c r="F38" s="505"/>
      <c r="G38" s="823">
        <v>3.4482758620689653</v>
      </c>
      <c r="H38" s="634" t="s">
        <v>675</v>
      </c>
      <c r="I38" s="1360">
        <v>720</v>
      </c>
      <c r="J38" s="1323">
        <v>44228</v>
      </c>
      <c r="K38" s="1324">
        <v>44530</v>
      </c>
      <c r="L38" s="1236"/>
      <c r="M38" s="1237">
        <v>10</v>
      </c>
      <c r="N38" s="1237">
        <v>10</v>
      </c>
      <c r="O38" s="1237">
        <v>10</v>
      </c>
      <c r="P38" s="1237">
        <v>10</v>
      </c>
      <c r="Q38" s="1237">
        <v>10</v>
      </c>
      <c r="R38" s="1237">
        <v>10</v>
      </c>
      <c r="S38" s="1237">
        <v>10</v>
      </c>
      <c r="T38" s="1237">
        <v>10</v>
      </c>
      <c r="U38" s="1237">
        <v>10</v>
      </c>
      <c r="V38" s="1237">
        <v>10</v>
      </c>
      <c r="W38" s="1238"/>
      <c r="X38" s="888">
        <f t="shared" si="2"/>
        <v>100</v>
      </c>
      <c r="Y38" s="1209"/>
      <c r="Z38" s="497"/>
      <c r="AA38" s="497"/>
      <c r="AB38" s="497"/>
      <c r="AC38" s="497"/>
      <c r="AD38" s="497"/>
      <c r="AE38" s="497"/>
      <c r="AF38" s="497"/>
      <c r="AG38" s="497"/>
      <c r="AH38" s="497"/>
      <c r="AI38" s="497"/>
      <c r="AJ38" s="498"/>
      <c r="AK38" s="499"/>
    </row>
    <row r="39" spans="1:37" ht="81" customHeight="1" x14ac:dyDescent="0.2">
      <c r="A39" s="1240" t="s">
        <v>1582</v>
      </c>
      <c r="B39" s="1193" t="s">
        <v>603</v>
      </c>
      <c r="C39" s="674" t="s">
        <v>604</v>
      </c>
      <c r="D39" s="648" t="s">
        <v>605</v>
      </c>
      <c r="E39" s="610"/>
      <c r="F39" s="505"/>
      <c r="G39" s="823">
        <v>3.4482758620689653</v>
      </c>
      <c r="H39" s="634" t="s">
        <v>676</v>
      </c>
      <c r="I39" s="1360">
        <v>720</v>
      </c>
      <c r="J39" s="1323">
        <v>44228</v>
      </c>
      <c r="K39" s="1324">
        <v>44530</v>
      </c>
      <c r="L39" s="910"/>
      <c r="M39" s="716">
        <v>10</v>
      </c>
      <c r="N39" s="716">
        <v>10</v>
      </c>
      <c r="O39" s="716">
        <v>10</v>
      </c>
      <c r="P39" s="716">
        <v>10</v>
      </c>
      <c r="Q39" s="716">
        <v>10</v>
      </c>
      <c r="R39" s="716">
        <v>10</v>
      </c>
      <c r="S39" s="716">
        <v>10</v>
      </c>
      <c r="T39" s="716">
        <v>10</v>
      </c>
      <c r="U39" s="716">
        <v>10</v>
      </c>
      <c r="V39" s="716">
        <v>10</v>
      </c>
      <c r="W39" s="868"/>
      <c r="X39" s="888">
        <f t="shared" ref="X39:X67" si="16">+SUM(L39:W39)</f>
        <v>100</v>
      </c>
      <c r="Y39" s="1209"/>
      <c r="Z39" s="497"/>
      <c r="AA39" s="497"/>
      <c r="AB39" s="497"/>
      <c r="AC39" s="497"/>
      <c r="AD39" s="497"/>
      <c r="AE39" s="497"/>
      <c r="AF39" s="497"/>
      <c r="AG39" s="497"/>
      <c r="AH39" s="497"/>
      <c r="AI39" s="497"/>
      <c r="AJ39" s="498"/>
      <c r="AK39" s="499"/>
    </row>
    <row r="40" spans="1:37" ht="57" customHeight="1" x14ac:dyDescent="0.2">
      <c r="A40" s="1240" t="s">
        <v>1583</v>
      </c>
      <c r="B40" s="1193" t="s">
        <v>606</v>
      </c>
      <c r="C40" s="640" t="s">
        <v>607</v>
      </c>
      <c r="D40" s="648" t="s">
        <v>608</v>
      </c>
      <c r="E40" s="610"/>
      <c r="F40" s="505"/>
      <c r="G40" s="823">
        <v>3.4482758620689653</v>
      </c>
      <c r="H40" s="634" t="s">
        <v>677</v>
      </c>
      <c r="I40" s="1360">
        <v>200</v>
      </c>
      <c r="J40" s="1323">
        <v>44228</v>
      </c>
      <c r="K40" s="1324">
        <v>44530</v>
      </c>
      <c r="L40" s="910"/>
      <c r="M40" s="716">
        <v>10</v>
      </c>
      <c r="N40" s="716">
        <v>10</v>
      </c>
      <c r="O40" s="716">
        <v>10</v>
      </c>
      <c r="P40" s="716">
        <v>10</v>
      </c>
      <c r="Q40" s="716">
        <v>10</v>
      </c>
      <c r="R40" s="716">
        <v>10</v>
      </c>
      <c r="S40" s="716">
        <v>10</v>
      </c>
      <c r="T40" s="716">
        <v>10</v>
      </c>
      <c r="U40" s="716">
        <v>10</v>
      </c>
      <c r="V40" s="716">
        <v>10</v>
      </c>
      <c r="W40" s="868"/>
      <c r="X40" s="888">
        <f t="shared" si="16"/>
        <v>100</v>
      </c>
      <c r="Y40" s="1209"/>
      <c r="Z40" s="497"/>
      <c r="AA40" s="497"/>
      <c r="AB40" s="497"/>
      <c r="AC40" s="497"/>
      <c r="AD40" s="497"/>
      <c r="AE40" s="497"/>
      <c r="AF40" s="497"/>
      <c r="AG40" s="497"/>
      <c r="AH40" s="497"/>
      <c r="AI40" s="497"/>
      <c r="AJ40" s="498"/>
      <c r="AK40" s="499"/>
    </row>
    <row r="41" spans="1:37" ht="56.25" customHeight="1" x14ac:dyDescent="0.2">
      <c r="A41" s="1240" t="s">
        <v>1584</v>
      </c>
      <c r="B41" s="1193" t="s">
        <v>609</v>
      </c>
      <c r="C41" s="640" t="s">
        <v>610</v>
      </c>
      <c r="D41" s="648" t="s">
        <v>611</v>
      </c>
      <c r="E41" s="610"/>
      <c r="F41" s="505"/>
      <c r="G41" s="823">
        <v>3.4482758620689653</v>
      </c>
      <c r="H41" s="634" t="s">
        <v>678</v>
      </c>
      <c r="I41" s="1360">
        <v>470</v>
      </c>
      <c r="J41" s="1323">
        <v>44228</v>
      </c>
      <c r="K41" s="1324">
        <v>44530</v>
      </c>
      <c r="L41" s="910"/>
      <c r="M41" s="716">
        <v>10</v>
      </c>
      <c r="N41" s="716">
        <v>10</v>
      </c>
      <c r="O41" s="716">
        <v>10</v>
      </c>
      <c r="P41" s="716">
        <v>10</v>
      </c>
      <c r="Q41" s="716">
        <v>10</v>
      </c>
      <c r="R41" s="716">
        <v>10</v>
      </c>
      <c r="S41" s="716">
        <v>10</v>
      </c>
      <c r="T41" s="716">
        <v>10</v>
      </c>
      <c r="U41" s="716">
        <v>10</v>
      </c>
      <c r="V41" s="716">
        <v>10</v>
      </c>
      <c r="W41" s="868"/>
      <c r="X41" s="888">
        <f t="shared" si="16"/>
        <v>100</v>
      </c>
      <c r="Y41" s="1209"/>
      <c r="Z41" s="497"/>
      <c r="AA41" s="497"/>
      <c r="AB41" s="497"/>
      <c r="AC41" s="497"/>
      <c r="AD41" s="497"/>
      <c r="AE41" s="497"/>
      <c r="AF41" s="497"/>
      <c r="AG41" s="497"/>
      <c r="AH41" s="497"/>
      <c r="AI41" s="497"/>
      <c r="AJ41" s="498"/>
      <c r="AK41" s="499"/>
    </row>
    <row r="42" spans="1:37" ht="63.75" customHeight="1" x14ac:dyDescent="0.2">
      <c r="A42" s="1240" t="s">
        <v>1585</v>
      </c>
      <c r="B42" s="1193" t="s">
        <v>612</v>
      </c>
      <c r="C42" s="640" t="s">
        <v>613</v>
      </c>
      <c r="D42" s="648" t="s">
        <v>614</v>
      </c>
      <c r="E42" s="610"/>
      <c r="F42" s="505"/>
      <c r="G42" s="823">
        <v>3.4482758620689653</v>
      </c>
      <c r="H42" s="634" t="s">
        <v>679</v>
      </c>
      <c r="I42" s="1360">
        <v>400</v>
      </c>
      <c r="J42" s="1323">
        <v>44228</v>
      </c>
      <c r="K42" s="1324">
        <v>44530</v>
      </c>
      <c r="L42" s="910"/>
      <c r="M42" s="716">
        <v>10</v>
      </c>
      <c r="N42" s="716">
        <v>10</v>
      </c>
      <c r="O42" s="716">
        <v>10</v>
      </c>
      <c r="P42" s="716">
        <v>10</v>
      </c>
      <c r="Q42" s="716">
        <v>10</v>
      </c>
      <c r="R42" s="716">
        <v>10</v>
      </c>
      <c r="S42" s="716">
        <v>10</v>
      </c>
      <c r="T42" s="716">
        <v>10</v>
      </c>
      <c r="U42" s="716">
        <v>10</v>
      </c>
      <c r="V42" s="716">
        <v>10</v>
      </c>
      <c r="W42" s="868"/>
      <c r="X42" s="888">
        <f t="shared" si="16"/>
        <v>100</v>
      </c>
      <c r="Y42" s="1209"/>
      <c r="Z42" s="497"/>
      <c r="AA42" s="497"/>
      <c r="AB42" s="497"/>
      <c r="AC42" s="497"/>
      <c r="AD42" s="497"/>
      <c r="AE42" s="497"/>
      <c r="AF42" s="497"/>
      <c r="AG42" s="497"/>
      <c r="AH42" s="497"/>
      <c r="AI42" s="497"/>
      <c r="AJ42" s="498"/>
      <c r="AK42" s="499"/>
    </row>
    <row r="43" spans="1:37" ht="61.5" customHeight="1" x14ac:dyDescent="0.2">
      <c r="A43" s="1240" t="s">
        <v>1586</v>
      </c>
      <c r="B43" s="1251" t="s">
        <v>615</v>
      </c>
      <c r="C43" s="640" t="s">
        <v>616</v>
      </c>
      <c r="D43" s="648" t="s">
        <v>617</v>
      </c>
      <c r="E43" s="610"/>
      <c r="F43" s="505"/>
      <c r="G43" s="823">
        <v>3.4482758620689653</v>
      </c>
      <c r="H43" s="634" t="s">
        <v>680</v>
      </c>
      <c r="I43" s="1360">
        <v>570</v>
      </c>
      <c r="J43" s="1323">
        <v>44228</v>
      </c>
      <c r="K43" s="1324">
        <v>44530</v>
      </c>
      <c r="L43" s="910"/>
      <c r="M43" s="716">
        <v>10</v>
      </c>
      <c r="N43" s="716">
        <v>10</v>
      </c>
      <c r="O43" s="716">
        <v>10</v>
      </c>
      <c r="P43" s="716">
        <v>10</v>
      </c>
      <c r="Q43" s="716">
        <v>10</v>
      </c>
      <c r="R43" s="716">
        <v>10</v>
      </c>
      <c r="S43" s="716">
        <v>10</v>
      </c>
      <c r="T43" s="716">
        <v>10</v>
      </c>
      <c r="U43" s="716">
        <v>10</v>
      </c>
      <c r="V43" s="716">
        <v>10</v>
      </c>
      <c r="W43" s="868"/>
      <c r="X43" s="888">
        <f t="shared" si="16"/>
        <v>100</v>
      </c>
      <c r="Y43" s="1209"/>
      <c r="Z43" s="497"/>
      <c r="AA43" s="497"/>
      <c r="AB43" s="497"/>
      <c r="AC43" s="497"/>
      <c r="AD43" s="497"/>
      <c r="AE43" s="497"/>
      <c r="AF43" s="497"/>
      <c r="AG43" s="497"/>
      <c r="AH43" s="497"/>
      <c r="AI43" s="497"/>
      <c r="AJ43" s="498"/>
      <c r="AK43" s="499"/>
    </row>
    <row r="44" spans="1:37" ht="87.75" customHeight="1" x14ac:dyDescent="0.2">
      <c r="A44" s="1240" t="s">
        <v>1587</v>
      </c>
      <c r="B44" s="1193" t="s">
        <v>618</v>
      </c>
      <c r="C44" s="640" t="s">
        <v>619</v>
      </c>
      <c r="D44" s="648" t="s">
        <v>620</v>
      </c>
      <c r="E44" s="610"/>
      <c r="F44" s="505"/>
      <c r="G44" s="823">
        <v>3.4482758620689653</v>
      </c>
      <c r="H44" s="634" t="s">
        <v>681</v>
      </c>
      <c r="I44" s="1360">
        <v>800</v>
      </c>
      <c r="J44" s="1323">
        <v>44228</v>
      </c>
      <c r="K44" s="1324">
        <v>44530</v>
      </c>
      <c r="L44" s="910"/>
      <c r="M44" s="716">
        <v>10</v>
      </c>
      <c r="N44" s="716">
        <v>10</v>
      </c>
      <c r="O44" s="716">
        <v>10</v>
      </c>
      <c r="P44" s="716">
        <v>10</v>
      </c>
      <c r="Q44" s="716">
        <v>10</v>
      </c>
      <c r="R44" s="716">
        <v>10</v>
      </c>
      <c r="S44" s="716">
        <v>10</v>
      </c>
      <c r="T44" s="716">
        <v>10</v>
      </c>
      <c r="U44" s="716">
        <v>10</v>
      </c>
      <c r="V44" s="716">
        <v>10</v>
      </c>
      <c r="W44" s="868"/>
      <c r="X44" s="888">
        <f t="shared" si="16"/>
        <v>100</v>
      </c>
      <c r="Y44" s="1209"/>
      <c r="Z44" s="497"/>
      <c r="AA44" s="497"/>
      <c r="AB44" s="497"/>
      <c r="AC44" s="497"/>
      <c r="AD44" s="497"/>
      <c r="AE44" s="497"/>
      <c r="AF44" s="497"/>
      <c r="AG44" s="497"/>
      <c r="AH44" s="497"/>
      <c r="AI44" s="497"/>
      <c r="AJ44" s="498"/>
      <c r="AK44" s="499"/>
    </row>
    <row r="45" spans="1:37" ht="81.75" customHeight="1" x14ac:dyDescent="0.2">
      <c r="A45" s="1240" t="s">
        <v>1588</v>
      </c>
      <c r="B45" s="1193" t="s">
        <v>621</v>
      </c>
      <c r="C45" s="640" t="s">
        <v>622</v>
      </c>
      <c r="D45" s="648" t="s">
        <v>623</v>
      </c>
      <c r="E45" s="610"/>
      <c r="F45" s="505"/>
      <c r="G45" s="823">
        <v>3.4482758620689653</v>
      </c>
      <c r="H45" s="634" t="s">
        <v>682</v>
      </c>
      <c r="I45" s="1360">
        <v>800</v>
      </c>
      <c r="J45" s="1323">
        <v>44228</v>
      </c>
      <c r="K45" s="1324">
        <v>44530</v>
      </c>
      <c r="L45" s="909"/>
      <c r="M45" s="716">
        <v>10</v>
      </c>
      <c r="N45" s="716">
        <v>10</v>
      </c>
      <c r="O45" s="716">
        <v>10</v>
      </c>
      <c r="P45" s="716">
        <v>10</v>
      </c>
      <c r="Q45" s="716">
        <v>10</v>
      </c>
      <c r="R45" s="716">
        <v>10</v>
      </c>
      <c r="S45" s="716">
        <v>10</v>
      </c>
      <c r="T45" s="716">
        <v>10</v>
      </c>
      <c r="U45" s="716">
        <v>10</v>
      </c>
      <c r="V45" s="716">
        <v>10</v>
      </c>
      <c r="W45" s="867"/>
      <c r="X45" s="888">
        <f t="shared" si="16"/>
        <v>100</v>
      </c>
      <c r="Y45" s="1209"/>
      <c r="Z45" s="497"/>
      <c r="AA45" s="497"/>
      <c r="AB45" s="497"/>
      <c r="AC45" s="497"/>
      <c r="AD45" s="497"/>
      <c r="AE45" s="497"/>
      <c r="AF45" s="497"/>
      <c r="AG45" s="497"/>
      <c r="AH45" s="497"/>
      <c r="AI45" s="497"/>
      <c r="AJ45" s="498"/>
      <c r="AK45" s="499"/>
    </row>
    <row r="46" spans="1:37" ht="81" customHeight="1" x14ac:dyDescent="0.2">
      <c r="A46" s="1240" t="s">
        <v>1589</v>
      </c>
      <c r="B46" s="1193" t="s">
        <v>624</v>
      </c>
      <c r="C46" s="640" t="s">
        <v>625</v>
      </c>
      <c r="D46" s="648" t="s">
        <v>626</v>
      </c>
      <c r="E46" s="610"/>
      <c r="F46" s="505"/>
      <c r="G46" s="823">
        <v>3.4482758620689653</v>
      </c>
      <c r="H46" s="634" t="s">
        <v>683</v>
      </c>
      <c r="I46" s="1360">
        <v>330</v>
      </c>
      <c r="J46" s="1323">
        <v>44228</v>
      </c>
      <c r="K46" s="1324">
        <v>44530</v>
      </c>
      <c r="L46" s="910"/>
      <c r="M46" s="716">
        <v>10</v>
      </c>
      <c r="N46" s="716">
        <v>10</v>
      </c>
      <c r="O46" s="716">
        <v>10</v>
      </c>
      <c r="P46" s="716">
        <v>10</v>
      </c>
      <c r="Q46" s="716">
        <v>10</v>
      </c>
      <c r="R46" s="716">
        <v>10</v>
      </c>
      <c r="S46" s="716">
        <v>10</v>
      </c>
      <c r="T46" s="716">
        <v>10</v>
      </c>
      <c r="U46" s="716">
        <v>10</v>
      </c>
      <c r="V46" s="716">
        <v>10</v>
      </c>
      <c r="W46" s="868"/>
      <c r="X46" s="888">
        <f t="shared" si="16"/>
        <v>100</v>
      </c>
      <c r="Y46" s="1209"/>
      <c r="Z46" s="497"/>
      <c r="AA46" s="497"/>
      <c r="AB46" s="497"/>
      <c r="AC46" s="497"/>
      <c r="AD46" s="497"/>
      <c r="AE46" s="497"/>
      <c r="AF46" s="497"/>
      <c r="AG46" s="497"/>
      <c r="AH46" s="497"/>
      <c r="AI46" s="497"/>
      <c r="AJ46" s="498"/>
      <c r="AK46" s="499"/>
    </row>
    <row r="47" spans="1:37" ht="71.25" customHeight="1" x14ac:dyDescent="0.2">
      <c r="A47" s="1240" t="s">
        <v>1590</v>
      </c>
      <c r="B47" s="1193" t="s">
        <v>1364</v>
      </c>
      <c r="C47" s="640" t="s">
        <v>627</v>
      </c>
      <c r="D47" s="648" t="s">
        <v>628</v>
      </c>
      <c r="E47" s="610"/>
      <c r="F47" s="505"/>
      <c r="G47" s="823">
        <v>3.4482758620689653</v>
      </c>
      <c r="H47" s="659" t="s">
        <v>684</v>
      </c>
      <c r="I47" s="1360">
        <v>8</v>
      </c>
      <c r="J47" s="1325">
        <v>44200</v>
      </c>
      <c r="K47" s="1326">
        <v>44227</v>
      </c>
      <c r="L47" s="910">
        <v>100</v>
      </c>
      <c r="M47" s="717"/>
      <c r="N47" s="717"/>
      <c r="O47" s="717"/>
      <c r="P47" s="717"/>
      <c r="Q47" s="717"/>
      <c r="R47" s="717"/>
      <c r="S47" s="717"/>
      <c r="T47" s="717"/>
      <c r="U47" s="717"/>
      <c r="V47" s="717"/>
      <c r="W47" s="868"/>
      <c r="X47" s="888">
        <f t="shared" si="16"/>
        <v>100</v>
      </c>
      <c r="Y47" s="1209"/>
      <c r="Z47" s="497"/>
      <c r="AA47" s="497"/>
      <c r="AB47" s="497"/>
      <c r="AC47" s="497"/>
      <c r="AD47" s="497"/>
      <c r="AE47" s="497"/>
      <c r="AF47" s="497"/>
      <c r="AG47" s="497"/>
      <c r="AH47" s="497"/>
      <c r="AI47" s="497"/>
      <c r="AJ47" s="498"/>
      <c r="AK47" s="499"/>
    </row>
    <row r="48" spans="1:37" ht="180" customHeight="1" x14ac:dyDescent="0.2">
      <c r="A48" s="1240" t="s">
        <v>1591</v>
      </c>
      <c r="B48" s="1193" t="s">
        <v>629</v>
      </c>
      <c r="C48" s="640" t="s">
        <v>966</v>
      </c>
      <c r="D48" s="649" t="s">
        <v>1341</v>
      </c>
      <c r="E48" s="610"/>
      <c r="F48" s="505"/>
      <c r="G48" s="823">
        <v>3.4482758620689653</v>
      </c>
      <c r="H48" s="608" t="s">
        <v>685</v>
      </c>
      <c r="I48" s="1361">
        <v>19</v>
      </c>
      <c r="J48" s="1325">
        <v>44200</v>
      </c>
      <c r="K48" s="1326">
        <v>44530</v>
      </c>
      <c r="L48" s="910">
        <f>2*100/19</f>
        <v>10.526315789473685</v>
      </c>
      <c r="M48" s="717">
        <f t="shared" ref="M48:S48" si="17">2*100/19</f>
        <v>10.526315789473685</v>
      </c>
      <c r="N48" s="717">
        <f t="shared" si="17"/>
        <v>10.526315789473685</v>
      </c>
      <c r="O48" s="717">
        <f t="shared" si="17"/>
        <v>10.526315789473685</v>
      </c>
      <c r="P48" s="717">
        <f t="shared" si="17"/>
        <v>10.526315789473685</v>
      </c>
      <c r="Q48" s="717">
        <f t="shared" si="17"/>
        <v>10.526315789473685</v>
      </c>
      <c r="R48" s="717">
        <f t="shared" si="17"/>
        <v>10.526315789473685</v>
      </c>
      <c r="S48" s="717">
        <f t="shared" si="17"/>
        <v>10.526315789473685</v>
      </c>
      <c r="T48" s="717">
        <f>1*100/19</f>
        <v>5.2631578947368425</v>
      </c>
      <c r="U48" s="717">
        <f t="shared" ref="U48:V48" si="18">1*100/19</f>
        <v>5.2631578947368425</v>
      </c>
      <c r="V48" s="717">
        <f t="shared" si="18"/>
        <v>5.2631578947368425</v>
      </c>
      <c r="W48" s="868"/>
      <c r="X48" s="888">
        <f t="shared" si="16"/>
        <v>100.00000000000003</v>
      </c>
      <c r="Y48" s="1209"/>
      <c r="Z48" s="497"/>
      <c r="AA48" s="497"/>
      <c r="AB48" s="497"/>
      <c r="AC48" s="497"/>
      <c r="AD48" s="497"/>
      <c r="AE48" s="497"/>
      <c r="AF48" s="497"/>
      <c r="AG48" s="497"/>
      <c r="AH48" s="497"/>
      <c r="AI48" s="497"/>
      <c r="AJ48" s="498"/>
      <c r="AK48" s="499"/>
    </row>
    <row r="49" spans="1:37" ht="56.25" customHeight="1" x14ac:dyDescent="0.2">
      <c r="A49" s="1240" t="s">
        <v>1592</v>
      </c>
      <c r="B49" s="1193" t="s">
        <v>630</v>
      </c>
      <c r="C49" s="640" t="s">
        <v>631</v>
      </c>
      <c r="D49" s="649" t="s">
        <v>632</v>
      </c>
      <c r="E49" s="610"/>
      <c r="F49" s="505"/>
      <c r="G49" s="823">
        <v>3.4482758620689653</v>
      </c>
      <c r="H49" s="609" t="s">
        <v>686</v>
      </c>
      <c r="I49" s="1361">
        <v>1200</v>
      </c>
      <c r="J49" s="1325">
        <v>44200</v>
      </c>
      <c r="K49" s="1326">
        <v>44561</v>
      </c>
      <c r="L49" s="911">
        <f t="shared" ref="L49:W62" si="19">100*100/1200</f>
        <v>8.3333333333333339</v>
      </c>
      <c r="M49" s="718">
        <f t="shared" si="19"/>
        <v>8.3333333333333339</v>
      </c>
      <c r="N49" s="718">
        <f t="shared" si="19"/>
        <v>8.3333333333333339</v>
      </c>
      <c r="O49" s="718">
        <f t="shared" si="19"/>
        <v>8.3333333333333339</v>
      </c>
      <c r="P49" s="718">
        <f t="shared" si="19"/>
        <v>8.3333333333333339</v>
      </c>
      <c r="Q49" s="718">
        <f t="shared" si="19"/>
        <v>8.3333333333333339</v>
      </c>
      <c r="R49" s="718">
        <f t="shared" si="19"/>
        <v>8.3333333333333339</v>
      </c>
      <c r="S49" s="718">
        <f t="shared" si="19"/>
        <v>8.3333333333333339</v>
      </c>
      <c r="T49" s="718">
        <f t="shared" si="19"/>
        <v>8.3333333333333339</v>
      </c>
      <c r="U49" s="718">
        <f t="shared" si="19"/>
        <v>8.3333333333333339</v>
      </c>
      <c r="V49" s="718">
        <f t="shared" si="19"/>
        <v>8.3333333333333339</v>
      </c>
      <c r="W49" s="869">
        <f t="shared" si="19"/>
        <v>8.3333333333333339</v>
      </c>
      <c r="X49" s="888">
        <f t="shared" si="16"/>
        <v>99.999999999999986</v>
      </c>
      <c r="Y49" s="1209"/>
      <c r="Z49" s="497"/>
      <c r="AA49" s="497"/>
      <c r="AB49" s="497"/>
      <c r="AC49" s="497"/>
      <c r="AD49" s="497"/>
      <c r="AE49" s="497"/>
      <c r="AF49" s="497"/>
      <c r="AG49" s="497"/>
      <c r="AH49" s="497"/>
      <c r="AI49" s="497"/>
      <c r="AJ49" s="498"/>
      <c r="AK49" s="499"/>
    </row>
    <row r="50" spans="1:37" ht="49.5" customHeight="1" x14ac:dyDescent="0.2">
      <c r="A50" s="1240" t="s">
        <v>1593</v>
      </c>
      <c r="B50" s="1193" t="s">
        <v>633</v>
      </c>
      <c r="C50" s="640" t="s">
        <v>634</v>
      </c>
      <c r="D50" s="649" t="s">
        <v>635</v>
      </c>
      <c r="E50" s="610"/>
      <c r="F50" s="505"/>
      <c r="G50" s="823">
        <v>3.4482758620689653</v>
      </c>
      <c r="H50" s="609" t="s">
        <v>686</v>
      </c>
      <c r="I50" s="1361">
        <v>600</v>
      </c>
      <c r="J50" s="1325">
        <v>44200</v>
      </c>
      <c r="K50" s="1326">
        <v>44561</v>
      </c>
      <c r="L50" s="911">
        <f t="shared" si="19"/>
        <v>8.3333333333333339</v>
      </c>
      <c r="M50" s="718">
        <f t="shared" si="19"/>
        <v>8.3333333333333339</v>
      </c>
      <c r="N50" s="718">
        <f t="shared" si="19"/>
        <v>8.3333333333333339</v>
      </c>
      <c r="O50" s="718">
        <f t="shared" si="19"/>
        <v>8.3333333333333339</v>
      </c>
      <c r="P50" s="718">
        <f t="shared" si="19"/>
        <v>8.3333333333333339</v>
      </c>
      <c r="Q50" s="718">
        <f t="shared" si="19"/>
        <v>8.3333333333333339</v>
      </c>
      <c r="R50" s="718">
        <f t="shared" si="19"/>
        <v>8.3333333333333339</v>
      </c>
      <c r="S50" s="718">
        <f t="shared" si="19"/>
        <v>8.3333333333333339</v>
      </c>
      <c r="T50" s="718">
        <f t="shared" si="19"/>
        <v>8.3333333333333339</v>
      </c>
      <c r="U50" s="718">
        <f t="shared" si="19"/>
        <v>8.3333333333333339</v>
      </c>
      <c r="V50" s="718">
        <f t="shared" si="19"/>
        <v>8.3333333333333339</v>
      </c>
      <c r="W50" s="869">
        <f t="shared" si="19"/>
        <v>8.3333333333333339</v>
      </c>
      <c r="X50" s="888">
        <f t="shared" si="16"/>
        <v>99.999999999999986</v>
      </c>
      <c r="Y50" s="1209"/>
      <c r="Z50" s="497"/>
      <c r="AA50" s="497"/>
      <c r="AB50" s="497"/>
      <c r="AC50" s="497"/>
      <c r="AD50" s="497"/>
      <c r="AE50" s="497"/>
      <c r="AF50" s="497"/>
      <c r="AG50" s="497"/>
      <c r="AH50" s="497"/>
      <c r="AI50" s="497"/>
      <c r="AJ50" s="498"/>
      <c r="AK50" s="499"/>
    </row>
    <row r="51" spans="1:37" ht="48.75" customHeight="1" x14ac:dyDescent="0.2">
      <c r="A51" s="1240" t="s">
        <v>1594</v>
      </c>
      <c r="B51" s="1193" t="s">
        <v>636</v>
      </c>
      <c r="C51" s="640" t="s">
        <v>637</v>
      </c>
      <c r="D51" s="649" t="s">
        <v>638</v>
      </c>
      <c r="E51" s="610"/>
      <c r="F51" s="505"/>
      <c r="G51" s="823">
        <v>3.4482758620689653</v>
      </c>
      <c r="H51" s="609" t="s">
        <v>687</v>
      </c>
      <c r="I51" s="1361">
        <v>24</v>
      </c>
      <c r="J51" s="1325">
        <v>44319</v>
      </c>
      <c r="K51" s="1326">
        <v>44530</v>
      </c>
      <c r="L51" s="911">
        <f t="shared" si="19"/>
        <v>8.3333333333333339</v>
      </c>
      <c r="M51" s="718">
        <f t="shared" si="19"/>
        <v>8.3333333333333339</v>
      </c>
      <c r="N51" s="718">
        <f t="shared" si="19"/>
        <v>8.3333333333333339</v>
      </c>
      <c r="O51" s="718">
        <f t="shared" si="19"/>
        <v>8.3333333333333339</v>
      </c>
      <c r="P51" s="718">
        <f t="shared" si="19"/>
        <v>8.3333333333333339</v>
      </c>
      <c r="Q51" s="718">
        <f t="shared" si="19"/>
        <v>8.3333333333333339</v>
      </c>
      <c r="R51" s="718">
        <f t="shared" si="19"/>
        <v>8.3333333333333339</v>
      </c>
      <c r="S51" s="718">
        <f t="shared" si="19"/>
        <v>8.3333333333333339</v>
      </c>
      <c r="T51" s="718">
        <f t="shared" si="19"/>
        <v>8.3333333333333339</v>
      </c>
      <c r="U51" s="718">
        <f t="shared" si="19"/>
        <v>8.3333333333333339</v>
      </c>
      <c r="V51" s="718">
        <f t="shared" si="19"/>
        <v>8.3333333333333339</v>
      </c>
      <c r="W51" s="869">
        <f t="shared" si="19"/>
        <v>8.3333333333333339</v>
      </c>
      <c r="X51" s="888">
        <f t="shared" si="16"/>
        <v>99.999999999999986</v>
      </c>
      <c r="Y51" s="1209"/>
      <c r="Z51" s="497"/>
      <c r="AA51" s="497"/>
      <c r="AB51" s="497"/>
      <c r="AC51" s="497"/>
      <c r="AD51" s="497"/>
      <c r="AE51" s="497"/>
      <c r="AF51" s="497"/>
      <c r="AG51" s="497"/>
      <c r="AH51" s="497"/>
      <c r="AI51" s="497"/>
      <c r="AJ51" s="498"/>
      <c r="AK51" s="499"/>
    </row>
    <row r="52" spans="1:37" ht="71.25" customHeight="1" x14ac:dyDescent="0.2">
      <c r="A52" s="1240" t="s">
        <v>1595</v>
      </c>
      <c r="B52" s="1193" t="s">
        <v>639</v>
      </c>
      <c r="C52" s="640" t="s">
        <v>967</v>
      </c>
      <c r="D52" s="650" t="s">
        <v>640</v>
      </c>
      <c r="E52" s="610"/>
      <c r="F52" s="505"/>
      <c r="G52" s="823">
        <v>3.4482758620689653</v>
      </c>
      <c r="H52" s="609" t="s">
        <v>687</v>
      </c>
      <c r="I52" s="1361">
        <v>336</v>
      </c>
      <c r="J52" s="1325">
        <v>44200</v>
      </c>
      <c r="K52" s="1326">
        <v>44561</v>
      </c>
      <c r="L52" s="911">
        <f t="shared" si="19"/>
        <v>8.3333333333333339</v>
      </c>
      <c r="M52" s="718">
        <f t="shared" si="19"/>
        <v>8.3333333333333339</v>
      </c>
      <c r="N52" s="718">
        <f t="shared" si="19"/>
        <v>8.3333333333333339</v>
      </c>
      <c r="O52" s="718">
        <f t="shared" si="19"/>
        <v>8.3333333333333339</v>
      </c>
      <c r="P52" s="718">
        <f t="shared" si="19"/>
        <v>8.3333333333333339</v>
      </c>
      <c r="Q52" s="718">
        <f t="shared" si="19"/>
        <v>8.3333333333333339</v>
      </c>
      <c r="R52" s="718">
        <f t="shared" si="19"/>
        <v>8.3333333333333339</v>
      </c>
      <c r="S52" s="718">
        <f t="shared" si="19"/>
        <v>8.3333333333333339</v>
      </c>
      <c r="T52" s="718">
        <f t="shared" si="19"/>
        <v>8.3333333333333339</v>
      </c>
      <c r="U52" s="718">
        <f t="shared" si="19"/>
        <v>8.3333333333333339</v>
      </c>
      <c r="V52" s="718">
        <f t="shared" si="19"/>
        <v>8.3333333333333339</v>
      </c>
      <c r="W52" s="869">
        <f t="shared" si="19"/>
        <v>8.3333333333333339</v>
      </c>
      <c r="X52" s="888">
        <f t="shared" si="16"/>
        <v>99.999999999999986</v>
      </c>
      <c r="Y52" s="1209"/>
      <c r="Z52" s="497"/>
      <c r="AA52" s="497"/>
      <c r="AB52" s="497"/>
      <c r="AC52" s="497"/>
      <c r="AD52" s="497"/>
      <c r="AE52" s="497"/>
      <c r="AF52" s="497"/>
      <c r="AG52" s="497"/>
      <c r="AH52" s="497"/>
      <c r="AI52" s="497"/>
      <c r="AJ52" s="498"/>
      <c r="AK52" s="499"/>
    </row>
    <row r="53" spans="1:37" ht="70.5" customHeight="1" x14ac:dyDescent="0.2">
      <c r="A53" s="1240" t="s">
        <v>1596</v>
      </c>
      <c r="B53" s="1193" t="s">
        <v>641</v>
      </c>
      <c r="C53" s="640" t="s">
        <v>642</v>
      </c>
      <c r="D53" s="651" t="s">
        <v>643</v>
      </c>
      <c r="E53" s="610"/>
      <c r="F53" s="505"/>
      <c r="G53" s="823">
        <v>3.4482758620689653</v>
      </c>
      <c r="H53" s="609" t="s">
        <v>688</v>
      </c>
      <c r="I53" s="1320">
        <v>408</v>
      </c>
      <c r="J53" s="1325">
        <v>44200</v>
      </c>
      <c r="K53" s="1326">
        <v>44561</v>
      </c>
      <c r="L53" s="911">
        <f t="shared" si="19"/>
        <v>8.3333333333333339</v>
      </c>
      <c r="M53" s="718">
        <f t="shared" si="19"/>
        <v>8.3333333333333339</v>
      </c>
      <c r="N53" s="718">
        <f t="shared" si="19"/>
        <v>8.3333333333333339</v>
      </c>
      <c r="O53" s="718">
        <f t="shared" si="19"/>
        <v>8.3333333333333339</v>
      </c>
      <c r="P53" s="718">
        <f t="shared" si="19"/>
        <v>8.3333333333333339</v>
      </c>
      <c r="Q53" s="718">
        <f t="shared" si="19"/>
        <v>8.3333333333333339</v>
      </c>
      <c r="R53" s="718">
        <f t="shared" si="19"/>
        <v>8.3333333333333339</v>
      </c>
      <c r="S53" s="718">
        <f t="shared" si="19"/>
        <v>8.3333333333333339</v>
      </c>
      <c r="T53" s="718">
        <f t="shared" si="19"/>
        <v>8.3333333333333339</v>
      </c>
      <c r="U53" s="718">
        <f t="shared" si="19"/>
        <v>8.3333333333333339</v>
      </c>
      <c r="V53" s="718">
        <f t="shared" si="19"/>
        <v>8.3333333333333339</v>
      </c>
      <c r="W53" s="869">
        <f t="shared" si="19"/>
        <v>8.3333333333333339</v>
      </c>
      <c r="X53" s="888">
        <f t="shared" si="16"/>
        <v>99.999999999999986</v>
      </c>
      <c r="Y53" s="1209"/>
      <c r="Z53" s="497"/>
      <c r="AA53" s="497"/>
      <c r="AB53" s="497"/>
      <c r="AC53" s="497"/>
      <c r="AD53" s="497"/>
      <c r="AE53" s="497"/>
      <c r="AF53" s="497"/>
      <c r="AG53" s="497"/>
      <c r="AH53" s="497"/>
      <c r="AI53" s="497"/>
      <c r="AJ53" s="498"/>
      <c r="AK53" s="499"/>
    </row>
    <row r="54" spans="1:37" ht="63" customHeight="1" x14ac:dyDescent="0.2">
      <c r="A54" s="1240" t="s">
        <v>1597</v>
      </c>
      <c r="B54" s="1193" t="s">
        <v>644</v>
      </c>
      <c r="C54" s="640" t="s">
        <v>645</v>
      </c>
      <c r="D54" s="651" t="s">
        <v>646</v>
      </c>
      <c r="E54" s="610"/>
      <c r="F54" s="505"/>
      <c r="G54" s="823">
        <v>3.4482758620689653</v>
      </c>
      <c r="H54" s="609" t="s">
        <v>687</v>
      </c>
      <c r="I54" s="1320">
        <v>2100</v>
      </c>
      <c r="J54" s="1325">
        <v>44200</v>
      </c>
      <c r="K54" s="1326">
        <v>44561</v>
      </c>
      <c r="L54" s="911">
        <f t="shared" si="19"/>
        <v>8.3333333333333339</v>
      </c>
      <c r="M54" s="718">
        <f t="shared" si="19"/>
        <v>8.3333333333333339</v>
      </c>
      <c r="N54" s="718">
        <f t="shared" si="19"/>
        <v>8.3333333333333339</v>
      </c>
      <c r="O54" s="718">
        <f t="shared" si="19"/>
        <v>8.3333333333333339</v>
      </c>
      <c r="P54" s="718">
        <f t="shared" si="19"/>
        <v>8.3333333333333339</v>
      </c>
      <c r="Q54" s="718">
        <f t="shared" si="19"/>
        <v>8.3333333333333339</v>
      </c>
      <c r="R54" s="718">
        <f t="shared" si="19"/>
        <v>8.3333333333333339</v>
      </c>
      <c r="S54" s="718">
        <f t="shared" si="19"/>
        <v>8.3333333333333339</v>
      </c>
      <c r="T54" s="718">
        <f t="shared" si="19"/>
        <v>8.3333333333333339</v>
      </c>
      <c r="U54" s="718">
        <f t="shared" si="19"/>
        <v>8.3333333333333339</v>
      </c>
      <c r="V54" s="718">
        <f t="shared" si="19"/>
        <v>8.3333333333333339</v>
      </c>
      <c r="W54" s="869">
        <f t="shared" si="19"/>
        <v>8.3333333333333339</v>
      </c>
      <c r="X54" s="888">
        <f t="shared" si="16"/>
        <v>99.999999999999986</v>
      </c>
      <c r="Y54" s="1209"/>
      <c r="Z54" s="497"/>
      <c r="AA54" s="497"/>
      <c r="AB54" s="497"/>
      <c r="AC54" s="497"/>
      <c r="AD54" s="497"/>
      <c r="AE54" s="497"/>
      <c r="AF54" s="497"/>
      <c r="AG54" s="497"/>
      <c r="AH54" s="497"/>
      <c r="AI54" s="497"/>
      <c r="AJ54" s="498"/>
      <c r="AK54" s="499"/>
    </row>
    <row r="55" spans="1:37" ht="57.75" customHeight="1" x14ac:dyDescent="0.2">
      <c r="A55" s="1240" t="s">
        <v>1598</v>
      </c>
      <c r="B55" s="1193" t="s">
        <v>647</v>
      </c>
      <c r="C55" s="640" t="s">
        <v>648</v>
      </c>
      <c r="D55" s="651" t="s">
        <v>649</v>
      </c>
      <c r="E55" s="610"/>
      <c r="F55" s="505"/>
      <c r="G55" s="823">
        <v>3.4482758620689653</v>
      </c>
      <c r="H55" s="609" t="s">
        <v>687</v>
      </c>
      <c r="I55" s="1320">
        <v>1176</v>
      </c>
      <c r="J55" s="1325">
        <v>44200</v>
      </c>
      <c r="K55" s="1326">
        <v>44561</v>
      </c>
      <c r="L55" s="911">
        <f t="shared" si="19"/>
        <v>8.3333333333333339</v>
      </c>
      <c r="M55" s="718">
        <f t="shared" si="19"/>
        <v>8.3333333333333339</v>
      </c>
      <c r="N55" s="718">
        <f t="shared" si="19"/>
        <v>8.3333333333333339</v>
      </c>
      <c r="O55" s="718">
        <f t="shared" si="19"/>
        <v>8.3333333333333339</v>
      </c>
      <c r="P55" s="718">
        <f t="shared" si="19"/>
        <v>8.3333333333333339</v>
      </c>
      <c r="Q55" s="718">
        <f t="shared" si="19"/>
        <v>8.3333333333333339</v>
      </c>
      <c r="R55" s="718">
        <f t="shared" si="19"/>
        <v>8.3333333333333339</v>
      </c>
      <c r="S55" s="718">
        <f t="shared" si="19"/>
        <v>8.3333333333333339</v>
      </c>
      <c r="T55" s="718">
        <f t="shared" si="19"/>
        <v>8.3333333333333339</v>
      </c>
      <c r="U55" s="718">
        <f t="shared" si="19"/>
        <v>8.3333333333333339</v>
      </c>
      <c r="V55" s="718">
        <f t="shared" si="19"/>
        <v>8.3333333333333339</v>
      </c>
      <c r="W55" s="869">
        <f t="shared" si="19"/>
        <v>8.3333333333333339</v>
      </c>
      <c r="X55" s="888">
        <f t="shared" si="16"/>
        <v>99.999999999999986</v>
      </c>
      <c r="Y55" s="1209"/>
      <c r="Z55" s="497"/>
      <c r="AA55" s="497"/>
      <c r="AB55" s="497"/>
      <c r="AC55" s="497"/>
      <c r="AD55" s="497"/>
      <c r="AE55" s="497"/>
      <c r="AF55" s="497"/>
      <c r="AG55" s="497"/>
      <c r="AH55" s="497"/>
      <c r="AI55" s="497"/>
      <c r="AJ55" s="498"/>
      <c r="AK55" s="499"/>
    </row>
    <row r="56" spans="1:37" ht="55.5" customHeight="1" x14ac:dyDescent="0.2">
      <c r="A56" s="1240" t="s">
        <v>1599</v>
      </c>
      <c r="B56" s="1193" t="s">
        <v>1565</v>
      </c>
      <c r="C56" s="640" t="s">
        <v>650</v>
      </c>
      <c r="D56" s="651" t="s">
        <v>649</v>
      </c>
      <c r="E56" s="610"/>
      <c r="F56" s="505"/>
      <c r="G56" s="823">
        <v>3.4482758620689653</v>
      </c>
      <c r="H56" s="609" t="s">
        <v>687</v>
      </c>
      <c r="I56" s="1320">
        <v>11640</v>
      </c>
      <c r="J56" s="1325">
        <v>44200</v>
      </c>
      <c r="K56" s="1326">
        <v>44561</v>
      </c>
      <c r="L56" s="911">
        <f t="shared" si="19"/>
        <v>8.3333333333333339</v>
      </c>
      <c r="M56" s="718">
        <f t="shared" si="19"/>
        <v>8.3333333333333339</v>
      </c>
      <c r="N56" s="718">
        <f t="shared" si="19"/>
        <v>8.3333333333333339</v>
      </c>
      <c r="O56" s="718">
        <f t="shared" si="19"/>
        <v>8.3333333333333339</v>
      </c>
      <c r="P56" s="718">
        <f t="shared" si="19"/>
        <v>8.3333333333333339</v>
      </c>
      <c r="Q56" s="718">
        <f t="shared" si="19"/>
        <v>8.3333333333333339</v>
      </c>
      <c r="R56" s="718">
        <f t="shared" si="19"/>
        <v>8.3333333333333339</v>
      </c>
      <c r="S56" s="718">
        <f t="shared" si="19"/>
        <v>8.3333333333333339</v>
      </c>
      <c r="T56" s="718">
        <f t="shared" si="19"/>
        <v>8.3333333333333339</v>
      </c>
      <c r="U56" s="718">
        <f t="shared" si="19"/>
        <v>8.3333333333333339</v>
      </c>
      <c r="V56" s="718">
        <f t="shared" si="19"/>
        <v>8.3333333333333339</v>
      </c>
      <c r="W56" s="869">
        <f t="shared" si="19"/>
        <v>8.3333333333333339</v>
      </c>
      <c r="X56" s="888">
        <f t="shared" si="16"/>
        <v>99.999999999999986</v>
      </c>
      <c r="Y56" s="1209"/>
      <c r="Z56" s="497"/>
      <c r="AA56" s="497"/>
      <c r="AB56" s="497"/>
      <c r="AC56" s="497"/>
      <c r="AD56" s="497"/>
      <c r="AE56" s="497"/>
      <c r="AF56" s="497"/>
      <c r="AG56" s="497"/>
      <c r="AH56" s="497"/>
      <c r="AI56" s="497"/>
      <c r="AJ56" s="498"/>
      <c r="AK56" s="499"/>
    </row>
    <row r="57" spans="1:37" ht="59.25" customHeight="1" x14ac:dyDescent="0.2">
      <c r="A57" s="1240" t="s">
        <v>1600</v>
      </c>
      <c r="B57" s="1193" t="s">
        <v>651</v>
      </c>
      <c r="C57" s="640" t="s">
        <v>652</v>
      </c>
      <c r="D57" s="651" t="s">
        <v>653</v>
      </c>
      <c r="E57" s="610"/>
      <c r="F57" s="505"/>
      <c r="G57" s="823">
        <v>3.4482758620689653</v>
      </c>
      <c r="H57" s="609" t="s">
        <v>687</v>
      </c>
      <c r="I57" s="1362">
        <v>720</v>
      </c>
      <c r="J57" s="1325">
        <v>44200</v>
      </c>
      <c r="K57" s="1326">
        <v>44561</v>
      </c>
      <c r="L57" s="911">
        <f t="shared" si="19"/>
        <v>8.3333333333333339</v>
      </c>
      <c r="M57" s="718">
        <f t="shared" si="19"/>
        <v>8.3333333333333339</v>
      </c>
      <c r="N57" s="718">
        <f t="shared" si="19"/>
        <v>8.3333333333333339</v>
      </c>
      <c r="O57" s="718">
        <f t="shared" si="19"/>
        <v>8.3333333333333339</v>
      </c>
      <c r="P57" s="718">
        <f t="shared" si="19"/>
        <v>8.3333333333333339</v>
      </c>
      <c r="Q57" s="718">
        <f t="shared" si="19"/>
        <v>8.3333333333333339</v>
      </c>
      <c r="R57" s="718">
        <f t="shared" si="19"/>
        <v>8.3333333333333339</v>
      </c>
      <c r="S57" s="718">
        <f t="shared" si="19"/>
        <v>8.3333333333333339</v>
      </c>
      <c r="T57" s="718">
        <f t="shared" si="19"/>
        <v>8.3333333333333339</v>
      </c>
      <c r="U57" s="718">
        <f t="shared" si="19"/>
        <v>8.3333333333333339</v>
      </c>
      <c r="V57" s="718">
        <f t="shared" si="19"/>
        <v>8.3333333333333339</v>
      </c>
      <c r="W57" s="869">
        <f t="shared" si="19"/>
        <v>8.3333333333333339</v>
      </c>
      <c r="X57" s="888">
        <f t="shared" si="16"/>
        <v>99.999999999999986</v>
      </c>
      <c r="Y57" s="1209"/>
      <c r="Z57" s="497"/>
      <c r="AA57" s="497"/>
      <c r="AB57" s="497"/>
      <c r="AC57" s="497"/>
      <c r="AD57" s="497"/>
      <c r="AE57" s="497"/>
      <c r="AF57" s="497"/>
      <c r="AG57" s="497"/>
      <c r="AH57" s="497"/>
      <c r="AI57" s="497"/>
      <c r="AJ57" s="498"/>
      <c r="AK57" s="499"/>
    </row>
    <row r="58" spans="1:37" ht="53.25" customHeight="1" x14ac:dyDescent="0.2">
      <c r="A58" s="1240" t="s">
        <v>1601</v>
      </c>
      <c r="B58" s="1193" t="s">
        <v>654</v>
      </c>
      <c r="C58" s="640" t="s">
        <v>655</v>
      </c>
      <c r="D58" s="1007" t="s">
        <v>656</v>
      </c>
      <c r="E58" s="610"/>
      <c r="F58" s="505"/>
      <c r="G58" s="823">
        <v>3.4482758620689653</v>
      </c>
      <c r="H58" s="634" t="s">
        <v>689</v>
      </c>
      <c r="I58" s="1363">
        <v>1500</v>
      </c>
      <c r="J58" s="1323">
        <v>44200</v>
      </c>
      <c r="K58" s="1324">
        <v>44561</v>
      </c>
      <c r="L58" s="911">
        <f t="shared" si="19"/>
        <v>8.3333333333333339</v>
      </c>
      <c r="M58" s="718">
        <f t="shared" si="19"/>
        <v>8.3333333333333339</v>
      </c>
      <c r="N58" s="718">
        <f t="shared" si="19"/>
        <v>8.3333333333333339</v>
      </c>
      <c r="O58" s="718">
        <f t="shared" si="19"/>
        <v>8.3333333333333339</v>
      </c>
      <c r="P58" s="718">
        <f t="shared" si="19"/>
        <v>8.3333333333333339</v>
      </c>
      <c r="Q58" s="718">
        <f t="shared" si="19"/>
        <v>8.3333333333333339</v>
      </c>
      <c r="R58" s="718">
        <f t="shared" si="19"/>
        <v>8.3333333333333339</v>
      </c>
      <c r="S58" s="718">
        <f t="shared" si="19"/>
        <v>8.3333333333333339</v>
      </c>
      <c r="T58" s="718">
        <f t="shared" si="19"/>
        <v>8.3333333333333339</v>
      </c>
      <c r="U58" s="718">
        <f t="shared" si="19"/>
        <v>8.3333333333333339</v>
      </c>
      <c r="V58" s="718">
        <f t="shared" si="19"/>
        <v>8.3333333333333339</v>
      </c>
      <c r="W58" s="869">
        <f t="shared" si="19"/>
        <v>8.3333333333333339</v>
      </c>
      <c r="X58" s="888">
        <f t="shared" si="16"/>
        <v>99.999999999999986</v>
      </c>
      <c r="Y58" s="1209"/>
      <c r="Z58" s="497"/>
      <c r="AA58" s="497"/>
      <c r="AB58" s="497"/>
      <c r="AC58" s="497"/>
      <c r="AD58" s="497"/>
      <c r="AE58" s="497"/>
      <c r="AF58" s="497"/>
      <c r="AG58" s="497"/>
      <c r="AH58" s="497"/>
      <c r="AI58" s="497"/>
      <c r="AJ58" s="498"/>
      <c r="AK58" s="499"/>
    </row>
    <row r="59" spans="1:37" ht="96" customHeight="1" x14ac:dyDescent="0.2">
      <c r="A59" s="1240" t="s">
        <v>1602</v>
      </c>
      <c r="B59" s="1193" t="s">
        <v>1365</v>
      </c>
      <c r="C59" s="640" t="s">
        <v>1937</v>
      </c>
      <c r="D59" s="648" t="s">
        <v>657</v>
      </c>
      <c r="E59" s="610"/>
      <c r="F59" s="505"/>
      <c r="G59" s="823">
        <v>3.4482758620689653</v>
      </c>
      <c r="H59" s="659" t="s">
        <v>584</v>
      </c>
      <c r="I59" s="1364">
        <v>3360</v>
      </c>
      <c r="J59" s="1325">
        <v>44200</v>
      </c>
      <c r="K59" s="1326">
        <v>44561</v>
      </c>
      <c r="L59" s="911">
        <f t="shared" si="19"/>
        <v>8.3333333333333339</v>
      </c>
      <c r="M59" s="718">
        <f t="shared" si="19"/>
        <v>8.3333333333333339</v>
      </c>
      <c r="N59" s="718">
        <f t="shared" si="19"/>
        <v>8.3333333333333339</v>
      </c>
      <c r="O59" s="718">
        <f t="shared" si="19"/>
        <v>8.3333333333333339</v>
      </c>
      <c r="P59" s="718">
        <f t="shared" si="19"/>
        <v>8.3333333333333339</v>
      </c>
      <c r="Q59" s="718">
        <f t="shared" si="19"/>
        <v>8.3333333333333339</v>
      </c>
      <c r="R59" s="718">
        <f t="shared" si="19"/>
        <v>8.3333333333333339</v>
      </c>
      <c r="S59" s="718">
        <f t="shared" si="19"/>
        <v>8.3333333333333339</v>
      </c>
      <c r="T59" s="718">
        <f t="shared" si="19"/>
        <v>8.3333333333333339</v>
      </c>
      <c r="U59" s="718">
        <f t="shared" si="19"/>
        <v>8.3333333333333339</v>
      </c>
      <c r="V59" s="718">
        <f t="shared" si="19"/>
        <v>8.3333333333333339</v>
      </c>
      <c r="W59" s="869">
        <f t="shared" si="19"/>
        <v>8.3333333333333339</v>
      </c>
      <c r="X59" s="888">
        <f t="shared" si="16"/>
        <v>99.999999999999986</v>
      </c>
      <c r="Y59" s="1209"/>
      <c r="Z59" s="497"/>
      <c r="AA59" s="497"/>
      <c r="AB59" s="497"/>
      <c r="AC59" s="497"/>
      <c r="AD59" s="497"/>
      <c r="AE59" s="497"/>
      <c r="AF59" s="497"/>
      <c r="AG59" s="497"/>
      <c r="AH59" s="497"/>
      <c r="AI59" s="497"/>
      <c r="AJ59" s="498"/>
      <c r="AK59" s="499"/>
    </row>
    <row r="60" spans="1:37" ht="70.5" customHeight="1" x14ac:dyDescent="0.2">
      <c r="A60" s="1240" t="s">
        <v>1603</v>
      </c>
      <c r="B60" s="1193" t="s">
        <v>658</v>
      </c>
      <c r="C60" s="640" t="s">
        <v>659</v>
      </c>
      <c r="D60" s="649" t="s">
        <v>608</v>
      </c>
      <c r="E60" s="610"/>
      <c r="F60" s="505"/>
      <c r="G60" s="823">
        <v>3.4482758620689653</v>
      </c>
      <c r="H60" s="609" t="s">
        <v>677</v>
      </c>
      <c r="I60" s="1361">
        <v>1450</v>
      </c>
      <c r="J60" s="1325">
        <v>44200</v>
      </c>
      <c r="K60" s="1326">
        <v>44561</v>
      </c>
      <c r="L60" s="911">
        <f t="shared" si="19"/>
        <v>8.3333333333333339</v>
      </c>
      <c r="M60" s="718">
        <f t="shared" si="19"/>
        <v>8.3333333333333339</v>
      </c>
      <c r="N60" s="718">
        <f t="shared" si="19"/>
        <v>8.3333333333333339</v>
      </c>
      <c r="O60" s="718">
        <f t="shared" si="19"/>
        <v>8.3333333333333339</v>
      </c>
      <c r="P60" s="718">
        <f t="shared" si="19"/>
        <v>8.3333333333333339</v>
      </c>
      <c r="Q60" s="718">
        <f t="shared" si="19"/>
        <v>8.3333333333333339</v>
      </c>
      <c r="R60" s="718">
        <f t="shared" si="19"/>
        <v>8.3333333333333339</v>
      </c>
      <c r="S60" s="718">
        <f t="shared" si="19"/>
        <v>8.3333333333333339</v>
      </c>
      <c r="T60" s="718">
        <f t="shared" si="19"/>
        <v>8.3333333333333339</v>
      </c>
      <c r="U60" s="718">
        <f t="shared" si="19"/>
        <v>8.3333333333333339</v>
      </c>
      <c r="V60" s="718">
        <f t="shared" si="19"/>
        <v>8.3333333333333339</v>
      </c>
      <c r="W60" s="869">
        <f t="shared" si="19"/>
        <v>8.3333333333333339</v>
      </c>
      <c r="X60" s="888">
        <f t="shared" si="16"/>
        <v>99.999999999999986</v>
      </c>
      <c r="Y60" s="1209"/>
      <c r="Z60" s="497"/>
      <c r="AA60" s="497"/>
      <c r="AB60" s="497"/>
      <c r="AC60" s="497"/>
      <c r="AD60" s="497"/>
      <c r="AE60" s="497"/>
      <c r="AF60" s="497"/>
      <c r="AG60" s="497"/>
      <c r="AH60" s="497"/>
      <c r="AI60" s="497"/>
      <c r="AJ60" s="498"/>
      <c r="AK60" s="499"/>
    </row>
    <row r="61" spans="1:37" ht="81" customHeight="1" x14ac:dyDescent="0.2">
      <c r="A61" s="1240" t="s">
        <v>1604</v>
      </c>
      <c r="B61" s="1193" t="s">
        <v>1366</v>
      </c>
      <c r="C61" s="640" t="s">
        <v>1367</v>
      </c>
      <c r="D61" s="649" t="s">
        <v>660</v>
      </c>
      <c r="E61" s="610"/>
      <c r="F61" s="505"/>
      <c r="G61" s="823">
        <v>3.4482758620689653</v>
      </c>
      <c r="H61" s="609" t="s">
        <v>690</v>
      </c>
      <c r="I61" s="1360">
        <v>2</v>
      </c>
      <c r="J61" s="1325">
        <v>44256</v>
      </c>
      <c r="K61" s="1326">
        <v>44407</v>
      </c>
      <c r="L61" s="910"/>
      <c r="M61" s="717"/>
      <c r="N61" s="717">
        <v>50</v>
      </c>
      <c r="O61" s="717"/>
      <c r="P61" s="717"/>
      <c r="Q61" s="717"/>
      <c r="R61" s="717">
        <v>50</v>
      </c>
      <c r="S61" s="717"/>
      <c r="T61" s="717"/>
      <c r="U61" s="717"/>
      <c r="V61" s="717"/>
      <c r="W61" s="868"/>
      <c r="X61" s="888">
        <f t="shared" si="16"/>
        <v>100</v>
      </c>
      <c r="Y61" s="1209"/>
      <c r="Z61" s="497"/>
      <c r="AA61" s="497"/>
      <c r="AB61" s="497"/>
      <c r="AC61" s="497"/>
      <c r="AD61" s="497"/>
      <c r="AE61" s="497"/>
      <c r="AF61" s="497"/>
      <c r="AG61" s="497"/>
      <c r="AH61" s="497"/>
      <c r="AI61" s="497"/>
      <c r="AJ61" s="498"/>
      <c r="AK61" s="499"/>
    </row>
    <row r="62" spans="1:37" ht="69" customHeight="1" x14ac:dyDescent="0.2">
      <c r="A62" s="1240" t="s">
        <v>1605</v>
      </c>
      <c r="B62" s="1193" t="s">
        <v>661</v>
      </c>
      <c r="C62" s="640" t="s">
        <v>662</v>
      </c>
      <c r="D62" s="649" t="s">
        <v>663</v>
      </c>
      <c r="E62" s="610"/>
      <c r="F62" s="505"/>
      <c r="G62" s="823">
        <v>3.4482758620689653</v>
      </c>
      <c r="H62" s="609" t="s">
        <v>691</v>
      </c>
      <c r="I62" s="1361">
        <v>380</v>
      </c>
      <c r="J62" s="1325">
        <v>44200</v>
      </c>
      <c r="K62" s="1326">
        <v>44561</v>
      </c>
      <c r="L62" s="911">
        <f>100*100/1200</f>
        <v>8.3333333333333339</v>
      </c>
      <c r="M62" s="718">
        <f t="shared" si="19"/>
        <v>8.3333333333333339</v>
      </c>
      <c r="N62" s="718">
        <f t="shared" si="19"/>
        <v>8.3333333333333339</v>
      </c>
      <c r="O62" s="718">
        <f t="shared" si="19"/>
        <v>8.3333333333333339</v>
      </c>
      <c r="P62" s="718">
        <f t="shared" si="19"/>
        <v>8.3333333333333339</v>
      </c>
      <c r="Q62" s="718">
        <f t="shared" si="19"/>
        <v>8.3333333333333339</v>
      </c>
      <c r="R62" s="718">
        <f t="shared" si="19"/>
        <v>8.3333333333333339</v>
      </c>
      <c r="S62" s="718">
        <f t="shared" si="19"/>
        <v>8.3333333333333339</v>
      </c>
      <c r="T62" s="718">
        <f t="shared" si="19"/>
        <v>8.3333333333333339</v>
      </c>
      <c r="U62" s="718">
        <f t="shared" si="19"/>
        <v>8.3333333333333339</v>
      </c>
      <c r="V62" s="718">
        <f t="shared" si="19"/>
        <v>8.3333333333333339</v>
      </c>
      <c r="W62" s="869">
        <f t="shared" si="19"/>
        <v>8.3333333333333339</v>
      </c>
      <c r="X62" s="888">
        <f t="shared" si="16"/>
        <v>99.999999999999986</v>
      </c>
      <c r="Y62" s="1209"/>
      <c r="Z62" s="497"/>
      <c r="AA62" s="497"/>
      <c r="AB62" s="497"/>
      <c r="AC62" s="497"/>
      <c r="AD62" s="497"/>
      <c r="AE62" s="497"/>
      <c r="AF62" s="497"/>
      <c r="AG62" s="497"/>
      <c r="AH62" s="497"/>
      <c r="AI62" s="497"/>
      <c r="AJ62" s="498"/>
      <c r="AK62" s="499"/>
    </row>
    <row r="63" spans="1:37" ht="87.75" customHeight="1" x14ac:dyDescent="0.2">
      <c r="A63" s="1240" t="s">
        <v>1606</v>
      </c>
      <c r="B63" s="1193" t="s">
        <v>664</v>
      </c>
      <c r="C63" s="640" t="s">
        <v>665</v>
      </c>
      <c r="D63" s="649" t="s">
        <v>666</v>
      </c>
      <c r="E63" s="610"/>
      <c r="F63" s="505"/>
      <c r="G63" s="823">
        <v>3.4482758620689653</v>
      </c>
      <c r="H63" s="609" t="s">
        <v>691</v>
      </c>
      <c r="I63" s="1361">
        <v>6</v>
      </c>
      <c r="J63" s="1325">
        <v>44348</v>
      </c>
      <c r="K63" s="1326">
        <v>44561</v>
      </c>
      <c r="L63" s="910"/>
      <c r="M63" s="717"/>
      <c r="N63" s="717"/>
      <c r="O63" s="717"/>
      <c r="P63" s="717"/>
      <c r="Q63" s="717">
        <v>50</v>
      </c>
      <c r="R63" s="717"/>
      <c r="S63" s="717"/>
      <c r="T63" s="717"/>
      <c r="U63" s="717"/>
      <c r="V63" s="717"/>
      <c r="W63" s="868">
        <v>50</v>
      </c>
      <c r="X63" s="888">
        <f t="shared" si="16"/>
        <v>100</v>
      </c>
      <c r="Y63" s="1209"/>
      <c r="Z63" s="497"/>
      <c r="AA63" s="497"/>
      <c r="AB63" s="497"/>
      <c r="AC63" s="497"/>
      <c r="AD63" s="497"/>
      <c r="AE63" s="497"/>
      <c r="AF63" s="497"/>
      <c r="AG63" s="497"/>
      <c r="AH63" s="497"/>
      <c r="AI63" s="497"/>
      <c r="AJ63" s="498"/>
      <c r="AK63" s="499"/>
    </row>
    <row r="64" spans="1:37" ht="91.5" customHeight="1" x14ac:dyDescent="0.2">
      <c r="A64" s="1240" t="s">
        <v>1607</v>
      </c>
      <c r="B64" s="1193" t="s">
        <v>667</v>
      </c>
      <c r="C64" s="640" t="s">
        <v>668</v>
      </c>
      <c r="D64" s="649" t="s">
        <v>666</v>
      </c>
      <c r="E64" s="610"/>
      <c r="F64" s="505"/>
      <c r="G64" s="823">
        <v>3.4482758620689653</v>
      </c>
      <c r="H64" s="609" t="s">
        <v>691</v>
      </c>
      <c r="I64" s="1361">
        <v>7</v>
      </c>
      <c r="J64" s="1325">
        <v>44348</v>
      </c>
      <c r="K64" s="1326">
        <v>44561</v>
      </c>
      <c r="L64" s="910"/>
      <c r="M64" s="717"/>
      <c r="N64" s="717"/>
      <c r="O64" s="717"/>
      <c r="P64" s="717"/>
      <c r="Q64" s="717">
        <f>3*14.2857142857143</f>
        <v>42.857142857142904</v>
      </c>
      <c r="R64" s="717"/>
      <c r="S64" s="717"/>
      <c r="T64" s="717"/>
      <c r="U64" s="717"/>
      <c r="V64" s="717"/>
      <c r="W64" s="868">
        <f>4*14.2857142857143</f>
        <v>57.142857142857203</v>
      </c>
      <c r="X64" s="888">
        <f t="shared" si="16"/>
        <v>100.00000000000011</v>
      </c>
      <c r="Y64" s="1209"/>
      <c r="Z64" s="497"/>
      <c r="AA64" s="497"/>
      <c r="AB64" s="497"/>
      <c r="AC64" s="497"/>
      <c r="AD64" s="497"/>
      <c r="AE64" s="497"/>
      <c r="AF64" s="497"/>
      <c r="AG64" s="497"/>
      <c r="AH64" s="497"/>
      <c r="AI64" s="497"/>
      <c r="AJ64" s="498"/>
      <c r="AK64" s="499"/>
    </row>
    <row r="65" spans="1:37" ht="54" customHeight="1" x14ac:dyDescent="0.2">
      <c r="A65" s="1240" t="s">
        <v>1608</v>
      </c>
      <c r="B65" s="1193" t="s">
        <v>669</v>
      </c>
      <c r="C65" s="640" t="s">
        <v>670</v>
      </c>
      <c r="D65" s="649" t="s">
        <v>671</v>
      </c>
      <c r="E65" s="610"/>
      <c r="F65" s="505"/>
      <c r="G65" s="823">
        <v>3.4482758620689653</v>
      </c>
      <c r="H65" s="609" t="s">
        <v>575</v>
      </c>
      <c r="I65" s="1362">
        <v>20</v>
      </c>
      <c r="J65" s="1325">
        <v>44228</v>
      </c>
      <c r="K65" s="1326">
        <v>44530</v>
      </c>
      <c r="L65" s="911"/>
      <c r="M65" s="718">
        <v>25</v>
      </c>
      <c r="N65" s="718"/>
      <c r="O65" s="718"/>
      <c r="P65" s="718">
        <v>25</v>
      </c>
      <c r="Q65" s="718"/>
      <c r="R65" s="718"/>
      <c r="S65" s="718">
        <v>25</v>
      </c>
      <c r="T65" s="718"/>
      <c r="U65" s="718"/>
      <c r="V65" s="718">
        <v>25</v>
      </c>
      <c r="W65" s="869"/>
      <c r="X65" s="888">
        <f t="shared" si="16"/>
        <v>100</v>
      </c>
      <c r="Y65" s="1209"/>
      <c r="Z65" s="497"/>
      <c r="AA65" s="497"/>
      <c r="AB65" s="497"/>
      <c r="AC65" s="497"/>
      <c r="AD65" s="497"/>
      <c r="AE65" s="497"/>
      <c r="AF65" s="497"/>
      <c r="AG65" s="497"/>
      <c r="AH65" s="497"/>
      <c r="AI65" s="497"/>
      <c r="AJ65" s="498"/>
      <c r="AK65" s="499"/>
    </row>
    <row r="66" spans="1:37" ht="63" customHeight="1" thickBot="1" x14ac:dyDescent="0.25">
      <c r="A66" s="1241" t="s">
        <v>1609</v>
      </c>
      <c r="B66" s="1193" t="s">
        <v>672</v>
      </c>
      <c r="C66" s="640" t="s">
        <v>673</v>
      </c>
      <c r="D66" s="649" t="s">
        <v>674</v>
      </c>
      <c r="E66" s="610"/>
      <c r="F66" s="505"/>
      <c r="G66" s="823">
        <v>3.4482758620689653</v>
      </c>
      <c r="H66" s="608" t="s">
        <v>584</v>
      </c>
      <c r="I66" s="1365">
        <v>36</v>
      </c>
      <c r="J66" s="1327">
        <v>44200</v>
      </c>
      <c r="K66" s="1328">
        <v>44561</v>
      </c>
      <c r="L66" s="1218">
        <f>3*100/36</f>
        <v>8.3333333333333339</v>
      </c>
      <c r="M66" s="1219">
        <f t="shared" ref="M66:W66" si="20">3*100/36</f>
        <v>8.3333333333333339</v>
      </c>
      <c r="N66" s="1219">
        <f t="shared" si="20"/>
        <v>8.3333333333333339</v>
      </c>
      <c r="O66" s="1219">
        <f t="shared" si="20"/>
        <v>8.3333333333333339</v>
      </c>
      <c r="P66" s="1219">
        <f t="shared" si="20"/>
        <v>8.3333333333333339</v>
      </c>
      <c r="Q66" s="1219">
        <f t="shared" si="20"/>
        <v>8.3333333333333339</v>
      </c>
      <c r="R66" s="1219">
        <f t="shared" si="20"/>
        <v>8.3333333333333339</v>
      </c>
      <c r="S66" s="1219">
        <f t="shared" si="20"/>
        <v>8.3333333333333339</v>
      </c>
      <c r="T66" s="1219">
        <f t="shared" si="20"/>
        <v>8.3333333333333339</v>
      </c>
      <c r="U66" s="1219">
        <f t="shared" si="20"/>
        <v>8.3333333333333339</v>
      </c>
      <c r="V66" s="1219">
        <f t="shared" si="20"/>
        <v>8.3333333333333339</v>
      </c>
      <c r="W66" s="1220">
        <f t="shared" si="20"/>
        <v>8.3333333333333339</v>
      </c>
      <c r="X66" s="888">
        <f t="shared" si="16"/>
        <v>99.999999999999986</v>
      </c>
      <c r="Y66" s="1209"/>
      <c r="Z66" s="497"/>
      <c r="AA66" s="497"/>
      <c r="AB66" s="497"/>
      <c r="AC66" s="497"/>
      <c r="AD66" s="497"/>
      <c r="AE66" s="497"/>
      <c r="AF66" s="497"/>
      <c r="AG66" s="497"/>
      <c r="AH66" s="497"/>
      <c r="AI66" s="497"/>
      <c r="AJ66" s="498"/>
      <c r="AK66" s="499"/>
    </row>
    <row r="67" spans="1:37" s="19" customFormat="1" ht="105" customHeight="1" thickBot="1" x14ac:dyDescent="0.25">
      <c r="A67" s="1254" t="str">
        <f>'FORM-2'!D12</f>
        <v>3.7.2.1</v>
      </c>
      <c r="B67" s="1132" t="str">
        <f>'FORM-2'!E12</f>
        <v xml:space="preserve">330 niñas, niños, adolescentes, jóvenes, mujeres y  personas adultas mayores / atendidos integralmente en Centros, de Acogida, de Reintegracion y transitorios  dependientes del SEDEGES.
</v>
      </c>
      <c r="C67" s="1132" t="str">
        <f>'FORM-2'!H12</f>
        <v>400 niños, niñas, adolescentes, jóvenes, mujeres y personas adultas mayores beneficiados en los Centros, de Acogida y de Reintegración Social de administración directa.</v>
      </c>
      <c r="D67" s="1133" t="s">
        <v>1240</v>
      </c>
      <c r="E67" s="1134"/>
      <c r="F67" s="769">
        <v>10</v>
      </c>
      <c r="G67" s="826">
        <f>SUM(G68:G257)</f>
        <v>100.00000000000013</v>
      </c>
      <c r="H67" s="1155" t="s">
        <v>1249</v>
      </c>
      <c r="I67" s="1366">
        <v>400</v>
      </c>
      <c r="J67" s="1018">
        <v>44200</v>
      </c>
      <c r="K67" s="1322">
        <v>44560</v>
      </c>
      <c r="L67" s="1221">
        <f>+(L68*$G$68+L69*$G$69+L70*$G$70+L71*$G$71+L72*$G$72+L73*$G$73+L74*$G$74+L75*$G$75+L76*$G$76+L77*$G$77+L78*$G$78+L79*$G$79+L80*$G$80+L81*$G$81+L82*$G$82+L83*$G$83+L84*$G$84+L85*$G$85+L86*$G$86+L87*$G$87+L88*$G$88+L89*$G$89+L90*$G$90+L91*$G$91+L92*$G$92+L93*$G$93+L94*$G$94+L95*$G$95+L96*$G$96+L97*$G$97+L98*$G$98+L99*$G$99+L100*$G$100+L101*$G$101+L102*$G$102+L103*$G$103+L104*$G$104+L105*$G$105+L106*$G$106+L107*$G$107+L108*$G$108+L109*$G$109+L110*$G$110+L111*$G$111+L112*$G$112+L113*$G$113+L114*$G$114+L115*$G$115+L116*$G$116+L117*$G$117+L118*$G$118+L119*$G$119+L120*$G$120+L121*$G$121+L122*$G$122+L123*$G$123+L124*$G$124+L125*$G$125+L126*$G$126+L127*$G$127+L128*$G$128+L129*$G$129+L130*$G$130+L131*$G$131+L132*$G$132+L133*$G$133+L134*$G$134+L135*$G$135+L136*$G$136+L137*$G$137+L138*$G$138+L139*$G$139+L140*$G$140+L141*$G$141+L142*$G$142+L143*$G$143+L144*$G$144+L145*$G$145+L146*$G$146+L147*$G$147+L148*$G$148+L149*$G$149+L150*$G$150+L151*$G$151+L152*$G$152+L153*$G$153+L154*$G$154+L155*$G$155+L156*$G$156+L157*$G$157+L158*$G$158+L159*$G$159+L160*$G$160+L161*$G$161+L162*$G$162+L163*$G$163+L164*$G$164+L165*$G$165+L166*$G$166+L167*$G$167+L168*$G$168+L169*$G$169+L170*$G$170+L171*$G$171+L172*$G$172+L173*$G$173+L174*$G$174+L175*$G$175+L176*$G$176+L177*$G$177+L178*$G$178+L179*$G$179+L180*$G$180+L181*$G$181+L182*$G$182+L183*$G$183+L184*$G$184+L185*$G$185+L186*$G$186+L187*$G$187+L188*$G$188+L189*$G$189+L190*$G$190+L191*$G$191+L192*$G$192+L193*$G$193+L194*$G$194+L195*$G$195+L196*$G$196+L197*$G$197+L198*$G$198+L199*$G$199+L200*$G$200+L201*$G$201+L202*$G$202+L203*$G$203+L204*$G$204+L205*$G$205+L206*$G$206+L207*$G$207+L208*$G$208+L209*$G$209+L210*$G$210+L211*$G$211+L212*$G$212+L213*$G$213+L214*$G$214+L215*$G$215+L216*$G$216+L217*$G$217+L218*$G$218+L219*$G$219+L220*$G$220+L221*$G$221+L222*$G$222+L223*$G$223+L224*$G$224+L225*$G$225+L226*$G$226+L227*$G$227+L228*$G$228+L229*$G$229+L230*$G$230+L231*$G$231+L232*$G$232+L233*$G$233+L234*$G$234+L235*$G$235+L236*$G$236+L237*$G$237+L238*$G$238+L239*$G$239+L240*$G$240+L241*$G$241+L242*$G$242+L243*$G$243+L244*$G$244+L245*$G$245+L246*$G$246+L247*$G$247+L248*$G$248+L249*$G$249+L250*$G$250+L251*$G$251+L252*$G$252+L253*$G$253+L254*$G$254+L255*$G$255+L256*$G$256+L257*$G$257)/$G$67</f>
        <v>11.417524228527242</v>
      </c>
      <c r="M67" s="839">
        <f t="shared" ref="M67:W67" si="21">+(M68*$G$68+M69*$G$69+M70*$G$70+M71*$G$71+M72*$G$72+M73*$G$73+M74*$G$74+M75*$G$75+M76*$G$76+M77*$G$77+M78*$G$78+M79*$G$79+M80*$G$80+M81*$G$81+M82*$G$82+M83*$G$83+M84*$G$84+M85*$G$85+M86*$G$86+M87*$G$87+M88*$G$88+M89*$G$89+M90*$G$90+M91*$G$91+M92*$G$92+M93*$G$93+M94*$G$94+M95*$G$95+M96*$G$96+M97*$G$97+M98*$G$98+M99*$G$99+M100*$G$100+M101*$G$101+M102*$G$102+M103*$G$103+M104*$G$104+M105*$G$105+M106*$G$106+M107*$G$107+M108*$G$108+M109*$G$109+M110*$G$110+M111*$G$111+M112*$G$112+M113*$G$113+M114*$G$114+M115*$G$115+M116*$G$116+M117*$G$117+M118*$G$118+M119*$G$119+M120*$G$120+M121*$G$121+M122*$G$122+M123*$G$123+M124*$G$124+M125*$G$125+M126*$G$126+M127*$G$127+M128*$G$128+M129*$G$129+M130*$G$130+M131*$G$131+M132*$G$132+M133*$G$133+M134*$G$134+M135*$G$135+M136*$G$136+M137*$G$137+M138*$G$138+M139*$G$139+M140*$G$140+M141*$G$141+M142*$G$142+M143*$G$143+M144*$G$144+M145*$G$145+M146*$G$146+M147*$G$147+M148*$G$148+M149*$G$149+M150*$G$150+M151*$G$151+M152*$G$152+M153*$G$153+M154*$G$154+M155*$G$155+M156*$G$156+M157*$G$157+M158*$G$158+M159*$G$159+M160*$G$160+M161*$G$161+M162*$G$162+M163*$G$163+M164*$G$164+M165*$G$165+M166*$G$166+M167*$G$167+M168*$G$168+M169*$G$169+M170*$G$170+M171*$G$171+M172*$G$172+M173*$G$173+M174*$G$174+M175*$G$175+M176*$G$176+M177*$G$177+M178*$G$178+M179*$G$179+M180*$G$180+M181*$G$181+M182*$G$182+M183*$G$183+M184*$G$184+M185*$G$185+M186*$G$186+M187*$G$187+M188*$G$188+M189*$G$189+M190*$G$190+M191*$G$191+M192*$G$192+M193*$G$193+M194*$G$194+M195*$G$195+M196*$G$196+M197*$G$197+M198*$G$198+M199*$G$199+M200*$G$200+M201*$G$201+M202*$G$202+M203*$G$203+M204*$G$204+M205*$G$205+M206*$G$206+M207*$G$207+M208*$G$208+M209*$G$209+M210*$G$210+M211*$G$211+M212*$G$212+M213*$G$213+M214*$G$214+M215*$G$215+M216*$G$216+M217*$G$217+M218*$G$218+M219*$G$219+M220*$G$220+M221*$G$221+M222*$G$222+M223*$G$223+M224*$G$224+M225*$G$225+M226*$G$226+M227*$G$227+M228*$G$228+M229*$G$229+M230*$G$230+M231*$G$231+M232*$G$232+M233*$G$233+M234*$G$234+M235*$G$235+M236*$G$236+M237*$G$237+M238*$G$238+M239*$G$239+M240*$G$240+M241*$G$241+M242*$G$242+M243*$G$243+M244*$G$244+M245*$G$245+M246*$G$246+M247*$G$247+M248*$G$248+M249*$G$249+M250*$G$250+M251*$G$251+M252*$G$252+M253*$G$253+M254*$G$254+M255*$G$255+M256*$G$256+M257*$G$257)/$G$67</f>
        <v>14.995481616168835</v>
      </c>
      <c r="N67" s="839">
        <f t="shared" si="21"/>
        <v>13.54411383580106</v>
      </c>
      <c r="O67" s="839">
        <f t="shared" si="21"/>
        <v>7.2599090640318611</v>
      </c>
      <c r="P67" s="839">
        <f t="shared" si="21"/>
        <v>7.2379363846644509</v>
      </c>
      <c r="Q67" s="839">
        <f t="shared" si="21"/>
        <v>10.115982613289617</v>
      </c>
      <c r="R67" s="839">
        <f t="shared" si="21"/>
        <v>5.2180021970533144</v>
      </c>
      <c r="S67" s="839">
        <f t="shared" si="21"/>
        <v>6.6160481160465991</v>
      </c>
      <c r="T67" s="839">
        <f t="shared" si="21"/>
        <v>5.3790029331593123</v>
      </c>
      <c r="U67" s="839">
        <f t="shared" si="21"/>
        <v>5.1031989768816732</v>
      </c>
      <c r="V67" s="839">
        <f t="shared" si="21"/>
        <v>7.0958471415824649</v>
      </c>
      <c r="W67" s="1222">
        <f t="shared" si="21"/>
        <v>6.0133209036878101</v>
      </c>
      <c r="X67" s="1217">
        <f t="shared" si="16"/>
        <v>99.996368010894244</v>
      </c>
      <c r="Y67" s="886" t="e">
        <f>(Y68*$F68+#REF!*#REF!+#REF!*#REF!+#REF!*#REF!+#REF!*#REF!)/$F67</f>
        <v>#REF!</v>
      </c>
      <c r="Z67" s="30" t="e">
        <f>(Z68*$F68+#REF!*#REF!+#REF!*#REF!+#REF!*#REF!+#REF!*#REF!)/$F67</f>
        <v>#REF!</v>
      </c>
      <c r="AA67" s="30" t="e">
        <f>(AA68*$F68+#REF!*#REF!+#REF!*#REF!+#REF!*#REF!+#REF!*#REF!)/$F67</f>
        <v>#REF!</v>
      </c>
      <c r="AB67" s="30" t="e">
        <f>(AB68*$F68+#REF!*#REF!+#REF!*#REF!+#REF!*#REF!+#REF!*#REF!)/$F67</f>
        <v>#REF!</v>
      </c>
      <c r="AC67" s="30" t="e">
        <f>(AC68*$F68+#REF!*#REF!+#REF!*#REF!+#REF!*#REF!+#REF!*#REF!)/$F67</f>
        <v>#REF!</v>
      </c>
      <c r="AD67" s="30" t="e">
        <f>(AD68*$F68+#REF!*#REF!+#REF!*#REF!+#REF!*#REF!+#REF!*#REF!)/$F67</f>
        <v>#REF!</v>
      </c>
      <c r="AE67" s="30" t="e">
        <f>(AE68*$F68+#REF!*#REF!+#REF!*#REF!+#REF!*#REF!+#REF!*#REF!)/$F67</f>
        <v>#REF!</v>
      </c>
      <c r="AF67" s="30" t="e">
        <f>(AF68*$F68+#REF!*#REF!+#REF!*#REF!+#REF!*#REF!+#REF!*#REF!)/$F67</f>
        <v>#REF!</v>
      </c>
      <c r="AG67" s="30" t="e">
        <f>(AG68*$F68+#REF!*#REF!+#REF!*#REF!+#REF!*#REF!+#REF!*#REF!)/$F67</f>
        <v>#REF!</v>
      </c>
      <c r="AH67" s="30" t="e">
        <f>(AH68*$F68+#REF!*#REF!+#REF!*#REF!+#REF!*#REF!+#REF!*#REF!)/$F67</f>
        <v>#REF!</v>
      </c>
      <c r="AI67" s="30" t="e">
        <f>(AI68*$F68+#REF!*#REF!+#REF!*#REF!+#REF!*#REF!+#REF!*#REF!)/$F67</f>
        <v>#REF!</v>
      </c>
      <c r="AJ67" s="31" t="e">
        <f>(AJ68*$F68+#REF!*#REF!+#REF!*#REF!+#REF!*#REF!+#REF!*#REF!)/$F67</f>
        <v>#REF!</v>
      </c>
      <c r="AK67" s="32" t="e">
        <f t="shared" ref="AK67:AK273" si="22">SUM(Y67:AJ67)</f>
        <v>#REF!</v>
      </c>
    </row>
    <row r="68" spans="1:37" s="35" customFormat="1" ht="101.25" customHeight="1" x14ac:dyDescent="0.2">
      <c r="A68" s="1253" t="s">
        <v>1612</v>
      </c>
      <c r="B68" s="1124" t="s">
        <v>1564</v>
      </c>
      <c r="C68" s="1125" t="s">
        <v>538</v>
      </c>
      <c r="D68" s="1011" t="s">
        <v>539</v>
      </c>
      <c r="E68" s="703"/>
      <c r="F68" s="1126"/>
      <c r="G68" s="1127">
        <v>0.52631578947368418</v>
      </c>
      <c r="H68" s="1015" t="s">
        <v>575</v>
      </c>
      <c r="I68" s="1367">
        <v>5</v>
      </c>
      <c r="J68" s="1016">
        <v>44228</v>
      </c>
      <c r="K68" s="1017">
        <v>44253</v>
      </c>
      <c r="L68" s="1128"/>
      <c r="M68" s="824">
        <v>100</v>
      </c>
      <c r="N68" s="824"/>
      <c r="O68" s="824"/>
      <c r="P68" s="824"/>
      <c r="Q68" s="824"/>
      <c r="R68" s="824"/>
      <c r="S68" s="824"/>
      <c r="T68" s="824"/>
      <c r="U68" s="824"/>
      <c r="V68" s="824"/>
      <c r="W68" s="860"/>
      <c r="X68" s="1174">
        <f t="shared" ref="X68:X107" si="23">+SUM(L68:W68)</f>
        <v>100</v>
      </c>
      <c r="Y68" s="663"/>
      <c r="Z68" s="20"/>
      <c r="AA68" s="20"/>
      <c r="AB68" s="20"/>
      <c r="AC68" s="20"/>
      <c r="AD68" s="20"/>
      <c r="AE68" s="20"/>
      <c r="AF68" s="20"/>
      <c r="AG68" s="20"/>
      <c r="AH68" s="20"/>
      <c r="AI68" s="20"/>
      <c r="AJ68" s="33"/>
      <c r="AK68" s="34">
        <f t="shared" si="22"/>
        <v>0</v>
      </c>
    </row>
    <row r="69" spans="1:37" s="35" customFormat="1" ht="99.75" customHeight="1" x14ac:dyDescent="0.2">
      <c r="A69" s="1253" t="s">
        <v>1613</v>
      </c>
      <c r="B69" s="670" t="s">
        <v>540</v>
      </c>
      <c r="C69" s="638" t="s">
        <v>946</v>
      </c>
      <c r="D69" s="646" t="s">
        <v>539</v>
      </c>
      <c r="E69" s="610"/>
      <c r="F69" s="505"/>
      <c r="G69" s="1127">
        <v>0.52631578947368418</v>
      </c>
      <c r="H69" s="654" t="s">
        <v>576</v>
      </c>
      <c r="I69" s="1360">
        <v>10</v>
      </c>
      <c r="J69" s="935">
        <v>44200</v>
      </c>
      <c r="K69" s="936">
        <v>44530</v>
      </c>
      <c r="L69" s="902">
        <v>10</v>
      </c>
      <c r="M69" s="707"/>
      <c r="N69" s="707">
        <v>10</v>
      </c>
      <c r="O69" s="707">
        <v>10</v>
      </c>
      <c r="P69" s="707">
        <v>10</v>
      </c>
      <c r="Q69" s="707">
        <v>10</v>
      </c>
      <c r="R69" s="707">
        <v>10</v>
      </c>
      <c r="S69" s="707">
        <v>10</v>
      </c>
      <c r="T69" s="707">
        <v>10</v>
      </c>
      <c r="U69" s="707">
        <v>10</v>
      </c>
      <c r="V69" s="707">
        <v>10</v>
      </c>
      <c r="W69" s="861"/>
      <c r="X69" s="888">
        <f t="shared" si="23"/>
        <v>100</v>
      </c>
      <c r="Y69" s="663"/>
      <c r="Z69" s="20"/>
      <c r="AA69" s="20"/>
      <c r="AB69" s="20"/>
      <c r="AC69" s="20"/>
      <c r="AD69" s="20"/>
      <c r="AE69" s="20"/>
      <c r="AF69" s="20"/>
      <c r="AG69" s="20"/>
      <c r="AH69" s="20"/>
      <c r="AI69" s="20"/>
      <c r="AJ69" s="33"/>
      <c r="AK69" s="34"/>
    </row>
    <row r="70" spans="1:37" s="35" customFormat="1" ht="69.75" customHeight="1" x14ac:dyDescent="0.2">
      <c r="A70" s="1253" t="s">
        <v>1614</v>
      </c>
      <c r="B70" s="671" t="s">
        <v>541</v>
      </c>
      <c r="C70" s="638" t="s">
        <v>542</v>
      </c>
      <c r="D70" s="647" t="s">
        <v>543</v>
      </c>
      <c r="E70" s="610"/>
      <c r="F70" s="505"/>
      <c r="G70" s="1127">
        <v>0.52631578947368418</v>
      </c>
      <c r="H70" s="654" t="s">
        <v>577</v>
      </c>
      <c r="I70" s="1360">
        <v>2</v>
      </c>
      <c r="J70" s="935">
        <v>44228</v>
      </c>
      <c r="K70" s="1324">
        <v>44347</v>
      </c>
      <c r="L70" s="902"/>
      <c r="M70" s="707">
        <v>50</v>
      </c>
      <c r="N70" s="707"/>
      <c r="O70" s="707"/>
      <c r="P70" s="707">
        <v>50</v>
      </c>
      <c r="Q70" s="707"/>
      <c r="R70" s="707"/>
      <c r="S70" s="692"/>
      <c r="T70" s="707"/>
      <c r="U70" s="707"/>
      <c r="V70" s="707"/>
      <c r="W70" s="861"/>
      <c r="X70" s="888">
        <f t="shared" si="23"/>
        <v>100</v>
      </c>
      <c r="Y70" s="663"/>
      <c r="Z70" s="20"/>
      <c r="AA70" s="20"/>
      <c r="AB70" s="20"/>
      <c r="AC70" s="20"/>
      <c r="AD70" s="20"/>
      <c r="AE70" s="20"/>
      <c r="AF70" s="20"/>
      <c r="AG70" s="20"/>
      <c r="AH70" s="20"/>
      <c r="AI70" s="20"/>
      <c r="AJ70" s="33"/>
      <c r="AK70" s="34"/>
    </row>
    <row r="71" spans="1:37" s="35" customFormat="1" ht="66.75" customHeight="1" x14ac:dyDescent="0.2">
      <c r="A71" s="1253" t="s">
        <v>1615</v>
      </c>
      <c r="B71" s="671" t="s">
        <v>544</v>
      </c>
      <c r="C71" s="638" t="s">
        <v>545</v>
      </c>
      <c r="D71" s="647" t="s">
        <v>543</v>
      </c>
      <c r="E71" s="610"/>
      <c r="F71" s="505"/>
      <c r="G71" s="1127">
        <v>0.52631578947368418</v>
      </c>
      <c r="H71" s="654" t="s">
        <v>577</v>
      </c>
      <c r="I71" s="1360">
        <v>2</v>
      </c>
      <c r="J71" s="935">
        <v>44228</v>
      </c>
      <c r="K71" s="1324">
        <v>44347</v>
      </c>
      <c r="L71" s="902"/>
      <c r="M71" s="707">
        <v>50</v>
      </c>
      <c r="N71" s="707"/>
      <c r="O71" s="707"/>
      <c r="P71" s="707">
        <v>50</v>
      </c>
      <c r="Q71" s="707"/>
      <c r="R71" s="707"/>
      <c r="S71" s="707"/>
      <c r="T71" s="692"/>
      <c r="U71" s="707"/>
      <c r="V71" s="707"/>
      <c r="W71" s="861"/>
      <c r="X71" s="888">
        <f t="shared" si="23"/>
        <v>100</v>
      </c>
      <c r="Y71" s="663"/>
      <c r="Z71" s="20"/>
      <c r="AA71" s="20"/>
      <c r="AB71" s="20"/>
      <c r="AC71" s="20"/>
      <c r="AD71" s="20"/>
      <c r="AE71" s="20"/>
      <c r="AF71" s="20"/>
      <c r="AG71" s="20"/>
      <c r="AH71" s="20"/>
      <c r="AI71" s="20"/>
      <c r="AJ71" s="33"/>
      <c r="AK71" s="34"/>
    </row>
    <row r="72" spans="1:37" s="35" customFormat="1" ht="69" customHeight="1" x14ac:dyDescent="0.2">
      <c r="A72" s="1253" t="s">
        <v>1616</v>
      </c>
      <c r="B72" s="671" t="s">
        <v>546</v>
      </c>
      <c r="C72" s="638" t="s">
        <v>545</v>
      </c>
      <c r="D72" s="647" t="s">
        <v>543</v>
      </c>
      <c r="E72" s="610"/>
      <c r="F72" s="505"/>
      <c r="G72" s="1127">
        <v>0.52631578947368418</v>
      </c>
      <c r="H72" s="654" t="s">
        <v>577</v>
      </c>
      <c r="I72" s="1360">
        <v>2</v>
      </c>
      <c r="J72" s="935">
        <v>44228</v>
      </c>
      <c r="K72" s="1324">
        <v>44347</v>
      </c>
      <c r="L72" s="902"/>
      <c r="M72" s="707">
        <v>50</v>
      </c>
      <c r="N72" s="707"/>
      <c r="O72" s="707"/>
      <c r="P72" s="707">
        <v>50</v>
      </c>
      <c r="Q72" s="707"/>
      <c r="R72" s="707"/>
      <c r="S72" s="707"/>
      <c r="T72" s="692"/>
      <c r="U72" s="692"/>
      <c r="V72" s="707"/>
      <c r="W72" s="861"/>
      <c r="X72" s="888">
        <f t="shared" si="23"/>
        <v>100</v>
      </c>
      <c r="Y72" s="663"/>
      <c r="Z72" s="20"/>
      <c r="AA72" s="20"/>
      <c r="AB72" s="20"/>
      <c r="AC72" s="20"/>
      <c r="AD72" s="20"/>
      <c r="AE72" s="20"/>
      <c r="AF72" s="20"/>
      <c r="AG72" s="20"/>
      <c r="AH72" s="20"/>
      <c r="AI72" s="20"/>
      <c r="AJ72" s="33"/>
      <c r="AK72" s="34"/>
    </row>
    <row r="73" spans="1:37" s="35" customFormat="1" ht="65.25" customHeight="1" x14ac:dyDescent="0.2">
      <c r="A73" s="1253" t="s">
        <v>1617</v>
      </c>
      <c r="B73" s="671" t="s">
        <v>547</v>
      </c>
      <c r="C73" s="638" t="s">
        <v>1938</v>
      </c>
      <c r="D73" s="647" t="s">
        <v>1856</v>
      </c>
      <c r="E73" s="610"/>
      <c r="F73" s="505"/>
      <c r="G73" s="1127">
        <v>0.52631578947368418</v>
      </c>
      <c r="H73" s="654" t="s">
        <v>578</v>
      </c>
      <c r="I73" s="1360">
        <v>4</v>
      </c>
      <c r="J73" s="935">
        <v>44256</v>
      </c>
      <c r="K73" s="936">
        <v>44561</v>
      </c>
      <c r="L73" s="902"/>
      <c r="M73" s="707"/>
      <c r="N73" s="707">
        <v>25</v>
      </c>
      <c r="O73" s="707"/>
      <c r="P73" s="707"/>
      <c r="Q73" s="707">
        <v>25</v>
      </c>
      <c r="R73" s="707"/>
      <c r="S73" s="707"/>
      <c r="T73" s="707">
        <v>25</v>
      </c>
      <c r="U73" s="707"/>
      <c r="V73" s="707"/>
      <c r="W73" s="861">
        <v>25</v>
      </c>
      <c r="X73" s="888">
        <f t="shared" si="23"/>
        <v>100</v>
      </c>
      <c r="Y73" s="663"/>
      <c r="Z73" s="20"/>
      <c r="AA73" s="20"/>
      <c r="AB73" s="20"/>
      <c r="AC73" s="20"/>
      <c r="AD73" s="20"/>
      <c r="AE73" s="20"/>
      <c r="AF73" s="20"/>
      <c r="AG73" s="20"/>
      <c r="AH73" s="20"/>
      <c r="AI73" s="20"/>
      <c r="AJ73" s="33"/>
      <c r="AK73" s="34"/>
    </row>
    <row r="74" spans="1:37" s="35" customFormat="1" ht="70.5" customHeight="1" x14ac:dyDescent="0.2">
      <c r="A74" s="1253" t="s">
        <v>1618</v>
      </c>
      <c r="B74" s="638" t="s">
        <v>548</v>
      </c>
      <c r="C74" s="638" t="s">
        <v>549</v>
      </c>
      <c r="D74" s="647" t="s">
        <v>1856</v>
      </c>
      <c r="E74" s="610"/>
      <c r="F74" s="505"/>
      <c r="G74" s="1127">
        <v>0.52631578947368418</v>
      </c>
      <c r="H74" s="654" t="s">
        <v>579</v>
      </c>
      <c r="I74" s="1360">
        <v>10</v>
      </c>
      <c r="J74" s="783">
        <v>44200</v>
      </c>
      <c r="K74" s="934">
        <v>44498</v>
      </c>
      <c r="L74" s="903">
        <v>40</v>
      </c>
      <c r="M74" s="708"/>
      <c r="N74" s="708"/>
      <c r="O74" s="708">
        <v>20</v>
      </c>
      <c r="P74" s="708"/>
      <c r="Q74" s="708"/>
      <c r="R74" s="708">
        <v>20</v>
      </c>
      <c r="S74" s="708"/>
      <c r="T74" s="708"/>
      <c r="U74" s="708">
        <v>20</v>
      </c>
      <c r="V74" s="708"/>
      <c r="W74" s="862"/>
      <c r="X74" s="888">
        <f t="shared" si="23"/>
        <v>100</v>
      </c>
      <c r="Y74" s="663"/>
      <c r="Z74" s="20"/>
      <c r="AA74" s="20"/>
      <c r="AB74" s="20"/>
      <c r="AC74" s="20"/>
      <c r="AD74" s="20"/>
      <c r="AE74" s="20"/>
      <c r="AF74" s="20"/>
      <c r="AG74" s="20"/>
      <c r="AH74" s="20"/>
      <c r="AI74" s="20"/>
      <c r="AJ74" s="33"/>
      <c r="AK74" s="34"/>
    </row>
    <row r="75" spans="1:37" s="35" customFormat="1" ht="67.5" customHeight="1" x14ac:dyDescent="0.2">
      <c r="A75" s="1253" t="s">
        <v>1619</v>
      </c>
      <c r="B75" s="671" t="s">
        <v>1547</v>
      </c>
      <c r="C75" s="638" t="s">
        <v>550</v>
      </c>
      <c r="D75" s="647" t="s">
        <v>1856</v>
      </c>
      <c r="E75" s="610"/>
      <c r="F75" s="505"/>
      <c r="G75" s="1127">
        <v>0.52631578947368418</v>
      </c>
      <c r="H75" s="654" t="s">
        <v>579</v>
      </c>
      <c r="I75" s="1360">
        <v>4</v>
      </c>
      <c r="J75" s="783">
        <v>44228</v>
      </c>
      <c r="K75" s="934">
        <v>44407</v>
      </c>
      <c r="L75" s="904"/>
      <c r="M75" s="708">
        <v>50</v>
      </c>
      <c r="N75" s="708"/>
      <c r="O75" s="708"/>
      <c r="P75" s="708"/>
      <c r="Q75" s="708"/>
      <c r="R75" s="708">
        <v>50</v>
      </c>
      <c r="S75" s="708"/>
      <c r="T75" s="708"/>
      <c r="U75" s="708"/>
      <c r="V75" s="708"/>
      <c r="W75" s="862"/>
      <c r="X75" s="888">
        <f t="shared" si="23"/>
        <v>100</v>
      </c>
      <c r="Y75" s="663"/>
      <c r="Z75" s="20"/>
      <c r="AA75" s="20"/>
      <c r="AB75" s="20"/>
      <c r="AC75" s="20"/>
      <c r="AD75" s="20"/>
      <c r="AE75" s="20"/>
      <c r="AF75" s="20"/>
      <c r="AG75" s="20"/>
      <c r="AH75" s="20"/>
      <c r="AI75" s="20"/>
      <c r="AJ75" s="33"/>
      <c r="AK75" s="34"/>
    </row>
    <row r="76" spans="1:37" s="35" customFormat="1" ht="68.25" customHeight="1" x14ac:dyDescent="0.2">
      <c r="A76" s="1253" t="s">
        <v>1620</v>
      </c>
      <c r="B76" s="671" t="s">
        <v>551</v>
      </c>
      <c r="C76" s="671" t="s">
        <v>552</v>
      </c>
      <c r="D76" s="647" t="s">
        <v>1856</v>
      </c>
      <c r="E76" s="610"/>
      <c r="F76" s="505"/>
      <c r="G76" s="1127">
        <v>0.52631578947368418</v>
      </c>
      <c r="H76" s="654" t="s">
        <v>579</v>
      </c>
      <c r="I76" s="1360">
        <v>2</v>
      </c>
      <c r="J76" s="783">
        <v>44200</v>
      </c>
      <c r="K76" s="934">
        <v>44377</v>
      </c>
      <c r="L76" s="902">
        <v>50</v>
      </c>
      <c r="M76" s="707"/>
      <c r="N76" s="707"/>
      <c r="O76" s="707"/>
      <c r="P76" s="707"/>
      <c r="Q76" s="707">
        <v>50</v>
      </c>
      <c r="R76" s="707"/>
      <c r="S76" s="707"/>
      <c r="T76" s="707"/>
      <c r="U76" s="707"/>
      <c r="V76" s="707"/>
      <c r="W76" s="861"/>
      <c r="X76" s="888">
        <f t="shared" si="23"/>
        <v>100</v>
      </c>
      <c r="Y76" s="663"/>
      <c r="Z76" s="20"/>
      <c r="AA76" s="20"/>
      <c r="AB76" s="20"/>
      <c r="AC76" s="20"/>
      <c r="AD76" s="20"/>
      <c r="AE76" s="20"/>
      <c r="AF76" s="20"/>
      <c r="AG76" s="20"/>
      <c r="AH76" s="20"/>
      <c r="AI76" s="20"/>
      <c r="AJ76" s="33"/>
      <c r="AK76" s="34"/>
    </row>
    <row r="77" spans="1:37" s="35" customFormat="1" ht="70.5" customHeight="1" x14ac:dyDescent="0.2">
      <c r="A77" s="1253" t="s">
        <v>1621</v>
      </c>
      <c r="B77" s="671" t="s">
        <v>1548</v>
      </c>
      <c r="C77" s="638" t="s">
        <v>553</v>
      </c>
      <c r="D77" s="647" t="s">
        <v>1856</v>
      </c>
      <c r="E77" s="610"/>
      <c r="F77" s="505"/>
      <c r="G77" s="1127">
        <v>0.52631578947368418</v>
      </c>
      <c r="H77" s="654" t="s">
        <v>579</v>
      </c>
      <c r="I77" s="1360">
        <v>1</v>
      </c>
      <c r="J77" s="935">
        <v>44319</v>
      </c>
      <c r="K77" s="936">
        <v>44347</v>
      </c>
      <c r="L77" s="902"/>
      <c r="M77" s="707"/>
      <c r="N77" s="694"/>
      <c r="O77" s="707"/>
      <c r="P77" s="707">
        <v>100</v>
      </c>
      <c r="Q77" s="707"/>
      <c r="R77" s="707"/>
      <c r="S77" s="707"/>
      <c r="T77" s="707"/>
      <c r="U77" s="707"/>
      <c r="V77" s="707"/>
      <c r="W77" s="861"/>
      <c r="X77" s="888">
        <f t="shared" si="23"/>
        <v>100</v>
      </c>
      <c r="Y77" s="663"/>
      <c r="Z77" s="20"/>
      <c r="AA77" s="20"/>
      <c r="AB77" s="20"/>
      <c r="AC77" s="20"/>
      <c r="AD77" s="20"/>
      <c r="AE77" s="20"/>
      <c r="AF77" s="20"/>
      <c r="AG77" s="20"/>
      <c r="AH77" s="20"/>
      <c r="AI77" s="20"/>
      <c r="AJ77" s="33"/>
      <c r="AK77" s="34"/>
    </row>
    <row r="78" spans="1:37" s="35" customFormat="1" ht="73.5" customHeight="1" x14ac:dyDescent="0.2">
      <c r="A78" s="1253" t="s">
        <v>1622</v>
      </c>
      <c r="B78" s="671" t="s">
        <v>554</v>
      </c>
      <c r="C78" s="638" t="s">
        <v>555</v>
      </c>
      <c r="D78" s="647" t="s">
        <v>1856</v>
      </c>
      <c r="E78" s="610"/>
      <c r="F78" s="505"/>
      <c r="G78" s="1127">
        <v>0.52631578947368418</v>
      </c>
      <c r="H78" s="654" t="s">
        <v>579</v>
      </c>
      <c r="I78" s="1360">
        <v>1</v>
      </c>
      <c r="J78" s="783">
        <v>44256</v>
      </c>
      <c r="K78" s="934">
        <v>44286</v>
      </c>
      <c r="L78" s="902"/>
      <c r="M78" s="707"/>
      <c r="N78" s="707">
        <v>100</v>
      </c>
      <c r="O78" s="694"/>
      <c r="P78" s="707"/>
      <c r="Q78" s="707"/>
      <c r="R78" s="707"/>
      <c r="S78" s="707"/>
      <c r="T78" s="707"/>
      <c r="U78" s="707"/>
      <c r="V78" s="707"/>
      <c r="W78" s="861"/>
      <c r="X78" s="888">
        <f t="shared" si="23"/>
        <v>100</v>
      </c>
      <c r="Y78" s="663"/>
      <c r="Z78" s="20"/>
      <c r="AA78" s="20"/>
      <c r="AB78" s="20"/>
      <c r="AC78" s="20"/>
      <c r="AD78" s="20"/>
      <c r="AE78" s="20"/>
      <c r="AF78" s="20"/>
      <c r="AG78" s="20"/>
      <c r="AH78" s="20"/>
      <c r="AI78" s="20"/>
      <c r="AJ78" s="33"/>
      <c r="AK78" s="34"/>
    </row>
    <row r="79" spans="1:37" s="35" customFormat="1" ht="75.75" customHeight="1" x14ac:dyDescent="0.2">
      <c r="A79" s="1253" t="s">
        <v>1623</v>
      </c>
      <c r="B79" s="672" t="s">
        <v>1940</v>
      </c>
      <c r="C79" s="684" t="s">
        <v>556</v>
      </c>
      <c r="D79" s="647" t="s">
        <v>557</v>
      </c>
      <c r="E79" s="610"/>
      <c r="F79" s="505"/>
      <c r="G79" s="1127">
        <v>0.52631578947368418</v>
      </c>
      <c r="H79" s="655" t="s">
        <v>577</v>
      </c>
      <c r="I79" s="1368">
        <v>1</v>
      </c>
      <c r="J79" s="1329">
        <v>44228</v>
      </c>
      <c r="K79" s="1330">
        <v>44253</v>
      </c>
      <c r="L79" s="905"/>
      <c r="M79" s="709">
        <v>100</v>
      </c>
      <c r="N79" s="710"/>
      <c r="O79" s="692"/>
      <c r="P79" s="710"/>
      <c r="Q79" s="710"/>
      <c r="R79" s="710"/>
      <c r="S79" s="710"/>
      <c r="T79" s="710"/>
      <c r="U79" s="710"/>
      <c r="V79" s="710"/>
      <c r="W79" s="863"/>
      <c r="X79" s="888">
        <f t="shared" si="23"/>
        <v>100</v>
      </c>
      <c r="Y79" s="663"/>
      <c r="Z79" s="20"/>
      <c r="AA79" s="20"/>
      <c r="AB79" s="20"/>
      <c r="AC79" s="20"/>
      <c r="AD79" s="20"/>
      <c r="AE79" s="20"/>
      <c r="AF79" s="20"/>
      <c r="AG79" s="20"/>
      <c r="AH79" s="20"/>
      <c r="AI79" s="20"/>
      <c r="AJ79" s="33"/>
      <c r="AK79" s="34"/>
    </row>
    <row r="80" spans="1:37" s="35" customFormat="1" ht="69.75" customHeight="1" x14ac:dyDescent="0.2">
      <c r="A80" s="1253" t="s">
        <v>1624</v>
      </c>
      <c r="B80" s="672" t="s">
        <v>1939</v>
      </c>
      <c r="C80" s="684" t="s">
        <v>558</v>
      </c>
      <c r="D80" s="647" t="s">
        <v>557</v>
      </c>
      <c r="E80" s="610"/>
      <c r="F80" s="505"/>
      <c r="G80" s="1127">
        <v>0.52631578947368418</v>
      </c>
      <c r="H80" s="655" t="s">
        <v>577</v>
      </c>
      <c r="I80" s="1368">
        <v>2</v>
      </c>
      <c r="J80" s="1329">
        <v>44228</v>
      </c>
      <c r="K80" s="1330">
        <v>44253</v>
      </c>
      <c r="L80" s="905"/>
      <c r="M80" s="709">
        <v>100</v>
      </c>
      <c r="N80" s="710"/>
      <c r="O80" s="692"/>
      <c r="P80" s="710"/>
      <c r="Q80" s="710"/>
      <c r="R80" s="710"/>
      <c r="S80" s="710"/>
      <c r="T80" s="710"/>
      <c r="U80" s="710"/>
      <c r="V80" s="710"/>
      <c r="W80" s="863"/>
      <c r="X80" s="888">
        <f t="shared" si="23"/>
        <v>100</v>
      </c>
      <c r="Y80" s="663"/>
      <c r="Z80" s="20"/>
      <c r="AA80" s="20"/>
      <c r="AB80" s="20"/>
      <c r="AC80" s="20"/>
      <c r="AD80" s="20"/>
      <c r="AE80" s="20"/>
      <c r="AF80" s="20"/>
      <c r="AG80" s="20"/>
      <c r="AH80" s="20"/>
      <c r="AI80" s="20"/>
      <c r="AJ80" s="33"/>
      <c r="AK80" s="34"/>
    </row>
    <row r="81" spans="1:37" s="35" customFormat="1" ht="72" customHeight="1" x14ac:dyDescent="0.2">
      <c r="A81" s="1253" t="s">
        <v>1625</v>
      </c>
      <c r="B81" s="672" t="s">
        <v>1941</v>
      </c>
      <c r="C81" s="685" t="s">
        <v>559</v>
      </c>
      <c r="D81" s="647" t="s">
        <v>557</v>
      </c>
      <c r="E81" s="610"/>
      <c r="F81" s="505"/>
      <c r="G81" s="1127">
        <v>0.52631578947368418</v>
      </c>
      <c r="H81" s="656" t="s">
        <v>577</v>
      </c>
      <c r="I81" s="1369">
        <v>1</v>
      </c>
      <c r="J81" s="935">
        <v>44256</v>
      </c>
      <c r="K81" s="1330">
        <v>44286</v>
      </c>
      <c r="L81" s="906"/>
      <c r="M81" s="711"/>
      <c r="N81" s="712">
        <v>100</v>
      </c>
      <c r="O81" s="712"/>
      <c r="P81" s="712"/>
      <c r="Q81" s="712"/>
      <c r="R81" s="712"/>
      <c r="S81" s="712"/>
      <c r="T81" s="712"/>
      <c r="U81" s="712"/>
      <c r="V81" s="712"/>
      <c r="W81" s="864"/>
      <c r="X81" s="888">
        <f t="shared" si="23"/>
        <v>100</v>
      </c>
      <c r="Y81" s="663"/>
      <c r="Z81" s="20"/>
      <c r="AA81" s="20"/>
      <c r="AB81" s="20"/>
      <c r="AC81" s="20"/>
      <c r="AD81" s="20"/>
      <c r="AE81" s="20"/>
      <c r="AF81" s="20"/>
      <c r="AG81" s="20"/>
      <c r="AH81" s="20"/>
      <c r="AI81" s="20"/>
      <c r="AJ81" s="33"/>
      <c r="AK81" s="34"/>
    </row>
    <row r="82" spans="1:37" s="35" customFormat="1" ht="64.5" customHeight="1" x14ac:dyDescent="0.2">
      <c r="A82" s="1253" t="s">
        <v>1626</v>
      </c>
      <c r="B82" s="672" t="s">
        <v>1942</v>
      </c>
      <c r="C82" s="685" t="s">
        <v>560</v>
      </c>
      <c r="D82" s="647" t="s">
        <v>557</v>
      </c>
      <c r="E82" s="610"/>
      <c r="F82" s="505"/>
      <c r="G82" s="1127">
        <v>0.52631578947368418</v>
      </c>
      <c r="H82" s="656" t="s">
        <v>577</v>
      </c>
      <c r="I82" s="1369">
        <v>1</v>
      </c>
      <c r="J82" s="935">
        <v>44256</v>
      </c>
      <c r="K82" s="1330">
        <v>44286</v>
      </c>
      <c r="L82" s="906"/>
      <c r="M82" s="711"/>
      <c r="N82" s="712">
        <v>100</v>
      </c>
      <c r="O82" s="712"/>
      <c r="P82" s="712"/>
      <c r="Q82" s="712"/>
      <c r="R82" s="712"/>
      <c r="S82" s="712"/>
      <c r="T82" s="712"/>
      <c r="U82" s="712"/>
      <c r="V82" s="712"/>
      <c r="W82" s="864"/>
      <c r="X82" s="888">
        <f t="shared" si="23"/>
        <v>100</v>
      </c>
      <c r="Y82" s="663"/>
      <c r="Z82" s="20"/>
      <c r="AA82" s="20"/>
      <c r="AB82" s="20"/>
      <c r="AC82" s="20"/>
      <c r="AD82" s="20"/>
      <c r="AE82" s="20"/>
      <c r="AF82" s="20"/>
      <c r="AG82" s="20"/>
      <c r="AH82" s="20"/>
      <c r="AI82" s="20"/>
      <c r="AJ82" s="33"/>
      <c r="AK82" s="34"/>
    </row>
    <row r="83" spans="1:37" s="35" customFormat="1" ht="92.25" customHeight="1" x14ac:dyDescent="0.2">
      <c r="A83" s="1253" t="s">
        <v>1627</v>
      </c>
      <c r="B83" s="673" t="s">
        <v>561</v>
      </c>
      <c r="C83" s="686" t="s">
        <v>560</v>
      </c>
      <c r="D83" s="647" t="s">
        <v>557</v>
      </c>
      <c r="E83" s="610"/>
      <c r="F83" s="505"/>
      <c r="G83" s="1127">
        <v>0.52631578947368418</v>
      </c>
      <c r="H83" s="657" t="s">
        <v>579</v>
      </c>
      <c r="I83" s="1370">
        <v>1</v>
      </c>
      <c r="J83" s="935">
        <v>44287</v>
      </c>
      <c r="K83" s="1330">
        <v>44316</v>
      </c>
      <c r="L83" s="907"/>
      <c r="M83" s="713"/>
      <c r="N83" s="714"/>
      <c r="O83" s="714">
        <v>100</v>
      </c>
      <c r="P83" s="714"/>
      <c r="Q83" s="714"/>
      <c r="R83" s="714"/>
      <c r="S83" s="714"/>
      <c r="T83" s="714"/>
      <c r="U83" s="714"/>
      <c r="V83" s="714"/>
      <c r="W83" s="865"/>
      <c r="X83" s="888">
        <f t="shared" si="23"/>
        <v>100</v>
      </c>
      <c r="Y83" s="663"/>
      <c r="Z83" s="20"/>
      <c r="AA83" s="20"/>
      <c r="AB83" s="20"/>
      <c r="AC83" s="20"/>
      <c r="AD83" s="20"/>
      <c r="AE83" s="20"/>
      <c r="AF83" s="20"/>
      <c r="AG83" s="20"/>
      <c r="AH83" s="20"/>
      <c r="AI83" s="20"/>
      <c r="AJ83" s="33"/>
      <c r="AK83" s="34"/>
    </row>
    <row r="84" spans="1:37" s="35" customFormat="1" ht="69" customHeight="1" x14ac:dyDescent="0.2">
      <c r="A84" s="1253" t="s">
        <v>1628</v>
      </c>
      <c r="B84" s="673" t="s">
        <v>1943</v>
      </c>
      <c r="C84" s="686" t="s">
        <v>562</v>
      </c>
      <c r="D84" s="647" t="s">
        <v>557</v>
      </c>
      <c r="E84" s="610"/>
      <c r="F84" s="505"/>
      <c r="G84" s="1127">
        <v>0.52631578947368418</v>
      </c>
      <c r="H84" s="657" t="s">
        <v>575</v>
      </c>
      <c r="I84" s="1370">
        <v>2</v>
      </c>
      <c r="J84" s="935">
        <v>44348</v>
      </c>
      <c r="K84" s="1324">
        <v>44561</v>
      </c>
      <c r="L84" s="907"/>
      <c r="M84" s="713"/>
      <c r="N84" s="714"/>
      <c r="O84" s="714"/>
      <c r="P84" s="714"/>
      <c r="Q84" s="714">
        <v>50</v>
      </c>
      <c r="R84" s="714"/>
      <c r="S84" s="714"/>
      <c r="T84" s="714"/>
      <c r="U84" s="714"/>
      <c r="V84" s="714"/>
      <c r="W84" s="865">
        <v>50</v>
      </c>
      <c r="X84" s="888">
        <f t="shared" si="23"/>
        <v>100</v>
      </c>
      <c r="Y84" s="663"/>
      <c r="Z84" s="20"/>
      <c r="AA84" s="20"/>
      <c r="AB84" s="20"/>
      <c r="AC84" s="20"/>
      <c r="AD84" s="20"/>
      <c r="AE84" s="20"/>
      <c r="AF84" s="20"/>
      <c r="AG84" s="20"/>
      <c r="AH84" s="20"/>
      <c r="AI84" s="20"/>
      <c r="AJ84" s="33"/>
      <c r="AK84" s="34"/>
    </row>
    <row r="85" spans="1:37" s="35" customFormat="1" ht="66.75" customHeight="1" x14ac:dyDescent="0.2">
      <c r="A85" s="1253" t="s">
        <v>1629</v>
      </c>
      <c r="B85" s="673" t="s">
        <v>563</v>
      </c>
      <c r="C85" s="673" t="s">
        <v>564</v>
      </c>
      <c r="D85" s="647" t="s">
        <v>557</v>
      </c>
      <c r="E85" s="610"/>
      <c r="F85" s="505"/>
      <c r="G85" s="1127">
        <v>0.52631578947368418</v>
      </c>
      <c r="H85" s="657" t="s">
        <v>580</v>
      </c>
      <c r="I85" s="1370">
        <v>3</v>
      </c>
      <c r="J85" s="935">
        <v>44287</v>
      </c>
      <c r="K85" s="1330">
        <v>44561</v>
      </c>
      <c r="L85" s="907"/>
      <c r="M85" s="713"/>
      <c r="N85" s="714"/>
      <c r="O85" s="714">
        <v>33.299999999999997</v>
      </c>
      <c r="P85" s="714"/>
      <c r="Q85" s="714"/>
      <c r="R85" s="714"/>
      <c r="S85" s="714">
        <v>33.4</v>
      </c>
      <c r="T85" s="714"/>
      <c r="U85" s="714"/>
      <c r="V85" s="714"/>
      <c r="W85" s="865">
        <v>33.299999999999997</v>
      </c>
      <c r="X85" s="888">
        <f t="shared" si="23"/>
        <v>99.999999999999986</v>
      </c>
      <c r="Y85" s="663"/>
      <c r="Z85" s="20"/>
      <c r="AA85" s="20"/>
      <c r="AB85" s="20"/>
      <c r="AC85" s="20"/>
      <c r="AD85" s="20"/>
      <c r="AE85" s="20"/>
      <c r="AF85" s="20"/>
      <c r="AG85" s="20"/>
      <c r="AH85" s="20"/>
      <c r="AI85" s="20"/>
      <c r="AJ85" s="33"/>
      <c r="AK85" s="34"/>
    </row>
    <row r="86" spans="1:37" s="35" customFormat="1" ht="100.5" customHeight="1" x14ac:dyDescent="0.2">
      <c r="A86" s="1253" t="s">
        <v>1630</v>
      </c>
      <c r="B86" s="673" t="s">
        <v>565</v>
      </c>
      <c r="C86" s="673" t="s">
        <v>566</v>
      </c>
      <c r="D86" s="646" t="s">
        <v>539</v>
      </c>
      <c r="E86" s="610"/>
      <c r="F86" s="505"/>
      <c r="G86" s="1127">
        <v>0.52631578947368418</v>
      </c>
      <c r="H86" s="657" t="s">
        <v>581</v>
      </c>
      <c r="I86" s="1370">
        <v>6</v>
      </c>
      <c r="J86" s="783">
        <v>44228</v>
      </c>
      <c r="K86" s="1330">
        <v>44561</v>
      </c>
      <c r="L86" s="907"/>
      <c r="M86" s="714">
        <v>16.666666666666668</v>
      </c>
      <c r="N86" s="714"/>
      <c r="O86" s="714">
        <v>16.7</v>
      </c>
      <c r="P86" s="714"/>
      <c r="Q86" s="714">
        <v>16.7</v>
      </c>
      <c r="R86" s="714"/>
      <c r="S86" s="714">
        <v>16.7</v>
      </c>
      <c r="T86" s="714"/>
      <c r="U86" s="714">
        <v>16.7</v>
      </c>
      <c r="V86" s="714"/>
      <c r="W86" s="865">
        <v>16.666666666666668</v>
      </c>
      <c r="X86" s="888">
        <f t="shared" si="23"/>
        <v>100.13333333333334</v>
      </c>
      <c r="Y86" s="663"/>
      <c r="Z86" s="20"/>
      <c r="AA86" s="20"/>
      <c r="AB86" s="20"/>
      <c r="AC86" s="20"/>
      <c r="AD86" s="20"/>
      <c r="AE86" s="20"/>
      <c r="AF86" s="20"/>
      <c r="AG86" s="20"/>
      <c r="AH86" s="20"/>
      <c r="AI86" s="20"/>
      <c r="AJ86" s="33"/>
      <c r="AK86" s="34"/>
    </row>
    <row r="87" spans="1:37" s="35" customFormat="1" ht="92.25" customHeight="1" x14ac:dyDescent="0.2">
      <c r="A87" s="1253" t="s">
        <v>1631</v>
      </c>
      <c r="B87" s="637" t="s">
        <v>567</v>
      </c>
      <c r="C87" s="638" t="s">
        <v>568</v>
      </c>
      <c r="D87" s="646" t="s">
        <v>539</v>
      </c>
      <c r="E87" s="610"/>
      <c r="F87" s="505"/>
      <c r="G87" s="1127">
        <v>0.52631578947368418</v>
      </c>
      <c r="H87" s="658" t="s">
        <v>582</v>
      </c>
      <c r="I87" s="1360">
        <v>25</v>
      </c>
      <c r="J87" s="783">
        <v>44200</v>
      </c>
      <c r="K87" s="934">
        <v>44530</v>
      </c>
      <c r="L87" s="908">
        <v>8</v>
      </c>
      <c r="M87" s="715">
        <v>8</v>
      </c>
      <c r="N87" s="715">
        <v>12</v>
      </c>
      <c r="O87" s="715">
        <v>8</v>
      </c>
      <c r="P87" s="715">
        <v>8</v>
      </c>
      <c r="Q87" s="715">
        <v>12</v>
      </c>
      <c r="R87" s="715">
        <v>8</v>
      </c>
      <c r="S87" s="715">
        <v>8</v>
      </c>
      <c r="T87" s="715">
        <v>12</v>
      </c>
      <c r="U87" s="715">
        <v>8</v>
      </c>
      <c r="V87" s="715">
        <v>8</v>
      </c>
      <c r="W87" s="866"/>
      <c r="X87" s="888">
        <f t="shared" si="23"/>
        <v>100</v>
      </c>
      <c r="Y87" s="663"/>
      <c r="Z87" s="20"/>
      <c r="AA87" s="20"/>
      <c r="AB87" s="20"/>
      <c r="AC87" s="20"/>
      <c r="AD87" s="20"/>
      <c r="AE87" s="20"/>
      <c r="AF87" s="20"/>
      <c r="AG87" s="20"/>
      <c r="AH87" s="20"/>
      <c r="AI87" s="20"/>
      <c r="AJ87" s="33"/>
      <c r="AK87" s="34"/>
    </row>
    <row r="88" spans="1:37" s="35" customFormat="1" ht="99.75" customHeight="1" x14ac:dyDescent="0.2">
      <c r="A88" s="1253" t="s">
        <v>1632</v>
      </c>
      <c r="B88" s="637" t="s">
        <v>1945</v>
      </c>
      <c r="C88" s="637" t="s">
        <v>1953</v>
      </c>
      <c r="D88" s="647" t="s">
        <v>569</v>
      </c>
      <c r="E88" s="610"/>
      <c r="F88" s="505"/>
      <c r="G88" s="1127">
        <v>0.52631578947368418</v>
      </c>
      <c r="H88" s="657" t="s">
        <v>583</v>
      </c>
      <c r="I88" s="1370">
        <v>220</v>
      </c>
      <c r="J88" s="783">
        <v>44200</v>
      </c>
      <c r="K88" s="934">
        <v>44561</v>
      </c>
      <c r="L88" s="908">
        <v>8.3333333333333339</v>
      </c>
      <c r="M88" s="908">
        <v>8.3333333333333339</v>
      </c>
      <c r="N88" s="908">
        <v>8.3333333333333339</v>
      </c>
      <c r="O88" s="908">
        <v>8.3333333333333339</v>
      </c>
      <c r="P88" s="908">
        <v>8.3333333333333339</v>
      </c>
      <c r="Q88" s="908">
        <v>8.3333333333333339</v>
      </c>
      <c r="R88" s="908">
        <v>8.3333333333333339</v>
      </c>
      <c r="S88" s="908">
        <v>8.3333333333333339</v>
      </c>
      <c r="T88" s="908">
        <v>8.3333333333333339</v>
      </c>
      <c r="U88" s="908">
        <v>8.3333333333333339</v>
      </c>
      <c r="V88" s="908">
        <v>8.3333333333333339</v>
      </c>
      <c r="W88" s="908">
        <v>8.3333333333333339</v>
      </c>
      <c r="X88" s="888">
        <f t="shared" si="23"/>
        <v>99.999999999999986</v>
      </c>
      <c r="Y88" s="663"/>
      <c r="Z88" s="20"/>
      <c r="AA88" s="20"/>
      <c r="AB88" s="20"/>
      <c r="AC88" s="20"/>
      <c r="AD88" s="20"/>
      <c r="AE88" s="20"/>
      <c r="AF88" s="20"/>
      <c r="AG88" s="20"/>
      <c r="AH88" s="20"/>
      <c r="AI88" s="20"/>
      <c r="AJ88" s="33"/>
      <c r="AK88" s="34"/>
    </row>
    <row r="89" spans="1:37" s="35" customFormat="1" ht="75" customHeight="1" x14ac:dyDescent="0.2">
      <c r="A89" s="1253" t="s">
        <v>1633</v>
      </c>
      <c r="B89" s="638" t="s">
        <v>1946</v>
      </c>
      <c r="C89" s="637" t="s">
        <v>1944</v>
      </c>
      <c r="D89" s="647" t="s">
        <v>1857</v>
      </c>
      <c r="E89" s="610"/>
      <c r="F89" s="505"/>
      <c r="G89" s="1127">
        <v>0.52631578947368418</v>
      </c>
      <c r="H89" s="657" t="s">
        <v>583</v>
      </c>
      <c r="I89" s="1370">
        <v>23</v>
      </c>
      <c r="J89" s="783">
        <v>44200</v>
      </c>
      <c r="K89" s="934">
        <v>44561</v>
      </c>
      <c r="L89" s="908">
        <v>8.3333333333333339</v>
      </c>
      <c r="M89" s="908">
        <v>8.3333333333333339</v>
      </c>
      <c r="N89" s="908">
        <v>8.3333333333333339</v>
      </c>
      <c r="O89" s="908">
        <v>8.3333333333333339</v>
      </c>
      <c r="P89" s="908">
        <v>8.3333333333333339</v>
      </c>
      <c r="Q89" s="908">
        <v>8.3333333333333339</v>
      </c>
      <c r="R89" s="908">
        <v>8.3333333333333339</v>
      </c>
      <c r="S89" s="908">
        <v>8.3333333333333339</v>
      </c>
      <c r="T89" s="908">
        <v>8.3333333333333339</v>
      </c>
      <c r="U89" s="908">
        <v>8.3333333333333339</v>
      </c>
      <c r="V89" s="908">
        <v>8.3333333333333339</v>
      </c>
      <c r="W89" s="908">
        <v>8.3333333333333339</v>
      </c>
      <c r="X89" s="888">
        <f t="shared" si="23"/>
        <v>99.999999999999986</v>
      </c>
      <c r="Y89" s="663"/>
      <c r="Z89" s="20"/>
      <c r="AA89" s="20"/>
      <c r="AB89" s="20"/>
      <c r="AC89" s="20"/>
      <c r="AD89" s="20"/>
      <c r="AE89" s="20"/>
      <c r="AF89" s="20"/>
      <c r="AG89" s="20"/>
      <c r="AH89" s="20"/>
      <c r="AI89" s="20"/>
      <c r="AJ89" s="33"/>
      <c r="AK89" s="34"/>
    </row>
    <row r="90" spans="1:37" s="35" customFormat="1" ht="84" customHeight="1" x14ac:dyDescent="0.2">
      <c r="A90" s="1253" t="s">
        <v>1634</v>
      </c>
      <c r="B90" s="638" t="s">
        <v>571</v>
      </c>
      <c r="C90" s="637" t="s">
        <v>1954</v>
      </c>
      <c r="D90" s="647" t="s">
        <v>569</v>
      </c>
      <c r="E90" s="610"/>
      <c r="F90" s="505"/>
      <c r="G90" s="1127">
        <v>0.52631578947368418</v>
      </c>
      <c r="H90" s="657" t="s">
        <v>583</v>
      </c>
      <c r="I90" s="1370">
        <v>220</v>
      </c>
      <c r="J90" s="783">
        <v>44200</v>
      </c>
      <c r="K90" s="934">
        <v>44561</v>
      </c>
      <c r="L90" s="908">
        <v>8.3333333333333339</v>
      </c>
      <c r="M90" s="908">
        <v>8.3333333333333339</v>
      </c>
      <c r="N90" s="908">
        <v>8.3333333333333339</v>
      </c>
      <c r="O90" s="908">
        <v>8.3333333333333339</v>
      </c>
      <c r="P90" s="908">
        <v>8.3333333333333339</v>
      </c>
      <c r="Q90" s="908">
        <v>8.3333333333333339</v>
      </c>
      <c r="R90" s="908">
        <v>8.3333333333333339</v>
      </c>
      <c r="S90" s="908">
        <v>8.3333333333333339</v>
      </c>
      <c r="T90" s="908">
        <v>8.3333333333333339</v>
      </c>
      <c r="U90" s="908">
        <v>8.3333333333333339</v>
      </c>
      <c r="V90" s="908">
        <v>8.3333333333333339</v>
      </c>
      <c r="W90" s="908">
        <v>8.3333333333333339</v>
      </c>
      <c r="X90" s="888">
        <f t="shared" si="23"/>
        <v>99.999999999999986</v>
      </c>
      <c r="Y90" s="663"/>
      <c r="Z90" s="20"/>
      <c r="AA90" s="20"/>
      <c r="AB90" s="20"/>
      <c r="AC90" s="20"/>
      <c r="AD90" s="20"/>
      <c r="AE90" s="20"/>
      <c r="AF90" s="20"/>
      <c r="AG90" s="20"/>
      <c r="AH90" s="20"/>
      <c r="AI90" s="20"/>
      <c r="AJ90" s="33"/>
      <c r="AK90" s="34"/>
    </row>
    <row r="91" spans="1:37" s="35" customFormat="1" ht="76.5" customHeight="1" x14ac:dyDescent="0.2">
      <c r="A91" s="1253" t="s">
        <v>1635</v>
      </c>
      <c r="B91" s="637" t="s">
        <v>1947</v>
      </c>
      <c r="C91" s="638" t="s">
        <v>1949</v>
      </c>
      <c r="D91" s="647" t="s">
        <v>1857</v>
      </c>
      <c r="E91" s="610"/>
      <c r="F91" s="505"/>
      <c r="G91" s="1127">
        <v>0.52631578947368418</v>
      </c>
      <c r="H91" s="657" t="s">
        <v>583</v>
      </c>
      <c r="I91" s="1370">
        <v>20</v>
      </c>
      <c r="J91" s="935">
        <v>44200</v>
      </c>
      <c r="K91" s="934">
        <v>44561</v>
      </c>
      <c r="L91" s="908">
        <v>8.3333333333333339</v>
      </c>
      <c r="M91" s="908">
        <v>8.3333333333333339</v>
      </c>
      <c r="N91" s="908">
        <v>8.3333333333333339</v>
      </c>
      <c r="O91" s="908">
        <v>8.3333333333333339</v>
      </c>
      <c r="P91" s="908">
        <v>8.3333333333333339</v>
      </c>
      <c r="Q91" s="908">
        <v>8.3333333333333339</v>
      </c>
      <c r="R91" s="908">
        <v>8.3333333333333339</v>
      </c>
      <c r="S91" s="908">
        <v>8.3333333333333339</v>
      </c>
      <c r="T91" s="908">
        <v>8.3333333333333339</v>
      </c>
      <c r="U91" s="908">
        <v>8.3333333333333339</v>
      </c>
      <c r="V91" s="908">
        <v>8.3333333333333339</v>
      </c>
      <c r="W91" s="908">
        <v>8.3333333333333339</v>
      </c>
      <c r="X91" s="888">
        <f t="shared" si="23"/>
        <v>99.999999999999986</v>
      </c>
      <c r="Y91" s="663"/>
      <c r="Z91" s="20"/>
      <c r="AA91" s="20"/>
      <c r="AB91" s="20"/>
      <c r="AC91" s="20"/>
      <c r="AD91" s="20"/>
      <c r="AE91" s="20"/>
      <c r="AF91" s="20"/>
      <c r="AG91" s="20"/>
      <c r="AH91" s="20"/>
      <c r="AI91" s="20"/>
      <c r="AJ91" s="33"/>
      <c r="AK91" s="34"/>
    </row>
    <row r="92" spans="1:37" s="35" customFormat="1" ht="147" customHeight="1" x14ac:dyDescent="0.2">
      <c r="A92" s="1253" t="s">
        <v>1636</v>
      </c>
      <c r="B92" s="637" t="s">
        <v>1948</v>
      </c>
      <c r="C92" s="637" t="s">
        <v>1955</v>
      </c>
      <c r="D92" s="647" t="s">
        <v>573</v>
      </c>
      <c r="E92" s="610"/>
      <c r="F92" s="505"/>
      <c r="G92" s="1127">
        <v>0.52631578947368418</v>
      </c>
      <c r="H92" s="657" t="s">
        <v>583</v>
      </c>
      <c r="I92" s="1370">
        <v>2400</v>
      </c>
      <c r="J92" s="935">
        <v>44200</v>
      </c>
      <c r="K92" s="936">
        <v>44561</v>
      </c>
      <c r="L92" s="908">
        <v>8.3333333333333339</v>
      </c>
      <c r="M92" s="715">
        <v>8.3333333333333339</v>
      </c>
      <c r="N92" s="715">
        <v>8.3333333333333339</v>
      </c>
      <c r="O92" s="715">
        <v>8.3333333333333339</v>
      </c>
      <c r="P92" s="715">
        <v>8.3333333333333339</v>
      </c>
      <c r="Q92" s="715">
        <v>8.3333333333333339</v>
      </c>
      <c r="R92" s="715">
        <v>8.3333333333333339</v>
      </c>
      <c r="S92" s="715">
        <v>8.3333333333333339</v>
      </c>
      <c r="T92" s="715">
        <v>8.3333333333333339</v>
      </c>
      <c r="U92" s="715">
        <v>8.3333333333333339</v>
      </c>
      <c r="V92" s="715">
        <v>8.3333333333333339</v>
      </c>
      <c r="W92" s="866">
        <v>8.3333333333333339</v>
      </c>
      <c r="X92" s="888">
        <f t="shared" si="23"/>
        <v>99.999999999999986</v>
      </c>
      <c r="Y92" s="663"/>
      <c r="Z92" s="20"/>
      <c r="AA92" s="20"/>
      <c r="AB92" s="20"/>
      <c r="AC92" s="20"/>
      <c r="AD92" s="20"/>
      <c r="AE92" s="20"/>
      <c r="AF92" s="20"/>
      <c r="AG92" s="20"/>
      <c r="AH92" s="20"/>
      <c r="AI92" s="20"/>
      <c r="AJ92" s="33"/>
      <c r="AK92" s="34"/>
    </row>
    <row r="93" spans="1:37" s="35" customFormat="1" ht="92.25" customHeight="1" x14ac:dyDescent="0.2">
      <c r="A93" s="1253" t="s">
        <v>1637</v>
      </c>
      <c r="B93" s="638" t="s">
        <v>1950</v>
      </c>
      <c r="C93" s="638" t="s">
        <v>1956</v>
      </c>
      <c r="D93" s="647" t="s">
        <v>574</v>
      </c>
      <c r="E93" s="610"/>
      <c r="F93" s="505"/>
      <c r="G93" s="1127">
        <v>0.52631578947368418</v>
      </c>
      <c r="H93" s="654" t="s">
        <v>584</v>
      </c>
      <c r="I93" s="1360">
        <v>600</v>
      </c>
      <c r="J93" s="935">
        <v>44200</v>
      </c>
      <c r="K93" s="934">
        <v>44561</v>
      </c>
      <c r="L93" s="908">
        <v>8.3333333333333339</v>
      </c>
      <c r="M93" s="715">
        <v>8.3333333333333339</v>
      </c>
      <c r="N93" s="715">
        <v>8.3333333333333339</v>
      </c>
      <c r="O93" s="715">
        <v>8.3333333333333339</v>
      </c>
      <c r="P93" s="715">
        <v>8.3333333333333339</v>
      </c>
      <c r="Q93" s="715">
        <v>8.3333333333333339</v>
      </c>
      <c r="R93" s="715">
        <v>8.3333333333333339</v>
      </c>
      <c r="S93" s="715">
        <v>8.3333333333333339</v>
      </c>
      <c r="T93" s="715">
        <v>8.3333333333333339</v>
      </c>
      <c r="U93" s="715">
        <v>8.3333333333333339</v>
      </c>
      <c r="V93" s="715">
        <v>8.3333333333333339</v>
      </c>
      <c r="W93" s="866">
        <v>8.3333333333333339</v>
      </c>
      <c r="X93" s="888">
        <f t="shared" si="23"/>
        <v>99.999999999999986</v>
      </c>
      <c r="Y93" s="663"/>
      <c r="Z93" s="20"/>
      <c r="AA93" s="20"/>
      <c r="AB93" s="20"/>
      <c r="AC93" s="20"/>
      <c r="AD93" s="20"/>
      <c r="AE93" s="20"/>
      <c r="AF93" s="20"/>
      <c r="AG93" s="20"/>
      <c r="AH93" s="20"/>
      <c r="AI93" s="20"/>
      <c r="AJ93" s="33"/>
      <c r="AK93" s="34"/>
    </row>
    <row r="94" spans="1:37" s="35" customFormat="1" ht="104.25" customHeight="1" x14ac:dyDescent="0.2">
      <c r="A94" s="1253" t="s">
        <v>1638</v>
      </c>
      <c r="B94" s="637" t="s">
        <v>585</v>
      </c>
      <c r="C94" s="638" t="s">
        <v>1358</v>
      </c>
      <c r="D94" s="647" t="s">
        <v>586</v>
      </c>
      <c r="E94" s="610"/>
      <c r="F94" s="505"/>
      <c r="G94" s="1127">
        <v>0.52631578947368418</v>
      </c>
      <c r="H94" s="654" t="s">
        <v>592</v>
      </c>
      <c r="I94" s="1360">
        <v>12</v>
      </c>
      <c r="J94" s="935">
        <v>44200</v>
      </c>
      <c r="K94" s="936">
        <v>44561</v>
      </c>
      <c r="L94" s="902">
        <v>8.3333329999999997</v>
      </c>
      <c r="M94" s="707">
        <v>8.3333329999999997</v>
      </c>
      <c r="N94" s="707">
        <v>8.3333329999999997</v>
      </c>
      <c r="O94" s="707">
        <v>8.3333329999999997</v>
      </c>
      <c r="P94" s="707">
        <v>8.3333329999999997</v>
      </c>
      <c r="Q94" s="707">
        <v>8.3333329999999997</v>
      </c>
      <c r="R94" s="707">
        <v>8.3333329999999997</v>
      </c>
      <c r="S94" s="707">
        <v>8.3333329999999997</v>
      </c>
      <c r="T94" s="707">
        <v>8.3333329999999997</v>
      </c>
      <c r="U94" s="707">
        <v>8.3333329999999997</v>
      </c>
      <c r="V94" s="707">
        <v>8.3333329999999997</v>
      </c>
      <c r="W94" s="861">
        <v>8.3333329999999997</v>
      </c>
      <c r="X94" s="888">
        <f t="shared" si="23"/>
        <v>99.999995999999967</v>
      </c>
      <c r="Y94" s="663"/>
      <c r="Z94" s="20"/>
      <c r="AA94" s="20"/>
      <c r="AB94" s="20"/>
      <c r="AC94" s="20"/>
      <c r="AD94" s="20"/>
      <c r="AE94" s="20"/>
      <c r="AF94" s="20"/>
      <c r="AG94" s="20"/>
      <c r="AH94" s="20"/>
      <c r="AI94" s="20"/>
      <c r="AJ94" s="33"/>
      <c r="AK94" s="34"/>
    </row>
    <row r="95" spans="1:37" s="35" customFormat="1" ht="92.25" customHeight="1" x14ac:dyDescent="0.2">
      <c r="A95" s="1253" t="s">
        <v>1639</v>
      </c>
      <c r="B95" s="637" t="s">
        <v>587</v>
      </c>
      <c r="C95" s="637" t="s">
        <v>1957</v>
      </c>
      <c r="D95" s="647" t="s">
        <v>572</v>
      </c>
      <c r="E95" s="610"/>
      <c r="F95" s="505"/>
      <c r="G95" s="1127">
        <v>0.52631578947368418</v>
      </c>
      <c r="H95" s="659" t="s">
        <v>593</v>
      </c>
      <c r="I95" s="1371">
        <v>60</v>
      </c>
      <c r="J95" s="935">
        <v>44200</v>
      </c>
      <c r="K95" s="936">
        <v>44561</v>
      </c>
      <c r="L95" s="902">
        <v>8.3333329999999997</v>
      </c>
      <c r="M95" s="707">
        <v>8.3333329999999997</v>
      </c>
      <c r="N95" s="707">
        <v>8.3333329999999997</v>
      </c>
      <c r="O95" s="707">
        <v>8.3333329999999997</v>
      </c>
      <c r="P95" s="707">
        <v>8.3333329999999997</v>
      </c>
      <c r="Q95" s="707">
        <v>8.3333329999999997</v>
      </c>
      <c r="R95" s="707">
        <v>8.3333329999999997</v>
      </c>
      <c r="S95" s="707">
        <v>8.3333329999999997</v>
      </c>
      <c r="T95" s="707">
        <v>8.3333329999999997</v>
      </c>
      <c r="U95" s="707">
        <v>8.3333329999999997</v>
      </c>
      <c r="V95" s="707">
        <v>8.3333329999999997</v>
      </c>
      <c r="W95" s="861">
        <v>8.3333329999999997</v>
      </c>
      <c r="X95" s="888">
        <f t="shared" si="23"/>
        <v>99.999995999999967</v>
      </c>
      <c r="Y95" s="663"/>
      <c r="Z95" s="20"/>
      <c r="AA95" s="20"/>
      <c r="AB95" s="20"/>
      <c r="AC95" s="20"/>
      <c r="AD95" s="20"/>
      <c r="AE95" s="20"/>
      <c r="AF95" s="20"/>
      <c r="AG95" s="20"/>
      <c r="AH95" s="20"/>
      <c r="AI95" s="20"/>
      <c r="AJ95" s="33"/>
      <c r="AK95" s="34"/>
    </row>
    <row r="96" spans="1:37" s="35" customFormat="1" ht="78.75" customHeight="1" x14ac:dyDescent="0.2">
      <c r="A96" s="1253" t="s">
        <v>1640</v>
      </c>
      <c r="B96" s="638" t="s">
        <v>1359</v>
      </c>
      <c r="C96" s="637" t="s">
        <v>588</v>
      </c>
      <c r="D96" s="647" t="s">
        <v>570</v>
      </c>
      <c r="E96" s="610"/>
      <c r="F96" s="505"/>
      <c r="G96" s="1127">
        <v>0.52631578947368418</v>
      </c>
      <c r="H96" s="657" t="s">
        <v>583</v>
      </c>
      <c r="I96" s="1370">
        <v>13</v>
      </c>
      <c r="J96" s="935">
        <v>44200</v>
      </c>
      <c r="K96" s="936">
        <v>44561</v>
      </c>
      <c r="L96" s="908">
        <v>8.3333333333333339</v>
      </c>
      <c r="M96" s="715">
        <v>8.3333333333333339</v>
      </c>
      <c r="N96" s="715">
        <v>8.3333333333333339</v>
      </c>
      <c r="O96" s="715">
        <v>8.3333333333333339</v>
      </c>
      <c r="P96" s="715">
        <v>8.3333333333333339</v>
      </c>
      <c r="Q96" s="715">
        <v>8.3333333333333339</v>
      </c>
      <c r="R96" s="715">
        <v>8.3333333333333339</v>
      </c>
      <c r="S96" s="715">
        <v>8.3333333333333339</v>
      </c>
      <c r="T96" s="715">
        <v>8.3333333333333339</v>
      </c>
      <c r="U96" s="715">
        <v>8.3333333333333339</v>
      </c>
      <c r="V96" s="715">
        <v>8.3333333333333339</v>
      </c>
      <c r="W96" s="866">
        <v>8.3333333333333339</v>
      </c>
      <c r="X96" s="888">
        <f t="shared" si="23"/>
        <v>99.999999999999986</v>
      </c>
      <c r="Y96" s="663"/>
      <c r="Z96" s="20"/>
      <c r="AA96" s="20"/>
      <c r="AB96" s="20"/>
      <c r="AC96" s="20"/>
      <c r="AD96" s="20"/>
      <c r="AE96" s="20"/>
      <c r="AF96" s="20"/>
      <c r="AG96" s="20"/>
      <c r="AH96" s="20"/>
      <c r="AI96" s="20"/>
      <c r="AJ96" s="33"/>
      <c r="AK96" s="34"/>
    </row>
    <row r="97" spans="1:37" s="35" customFormat="1" ht="72" customHeight="1" x14ac:dyDescent="0.2">
      <c r="A97" s="1253" t="s">
        <v>1641</v>
      </c>
      <c r="B97" s="638" t="s">
        <v>589</v>
      </c>
      <c r="C97" s="637" t="s">
        <v>1958</v>
      </c>
      <c r="D97" s="647" t="s">
        <v>572</v>
      </c>
      <c r="E97" s="610"/>
      <c r="F97" s="505"/>
      <c r="G97" s="1127">
        <v>0.52631578947368418</v>
      </c>
      <c r="H97" s="657" t="s">
        <v>583</v>
      </c>
      <c r="I97" s="1370">
        <v>60</v>
      </c>
      <c r="J97" s="935">
        <v>44200</v>
      </c>
      <c r="K97" s="936">
        <v>44561</v>
      </c>
      <c r="L97" s="908">
        <v>8.3333333333333339</v>
      </c>
      <c r="M97" s="715">
        <v>8.3333333333333339</v>
      </c>
      <c r="N97" s="715">
        <v>8.3333333333333339</v>
      </c>
      <c r="O97" s="715">
        <v>8.3333333333333339</v>
      </c>
      <c r="P97" s="715">
        <v>8.3333333333333339</v>
      </c>
      <c r="Q97" s="715">
        <v>8.3333333333333339</v>
      </c>
      <c r="R97" s="715">
        <v>8.3333333333333339</v>
      </c>
      <c r="S97" s="715">
        <v>8.3333333333333339</v>
      </c>
      <c r="T97" s="715">
        <v>8.3333333333333339</v>
      </c>
      <c r="U97" s="715">
        <v>8.3333333333333339</v>
      </c>
      <c r="V97" s="715">
        <v>8.3333333333333339</v>
      </c>
      <c r="W97" s="866">
        <v>8.3333333333333339</v>
      </c>
      <c r="X97" s="888">
        <f t="shared" si="23"/>
        <v>99.999999999999986</v>
      </c>
      <c r="Y97" s="663"/>
      <c r="Z97" s="20"/>
      <c r="AA97" s="20"/>
      <c r="AB97" s="20"/>
      <c r="AC97" s="20"/>
      <c r="AD97" s="20"/>
      <c r="AE97" s="20"/>
      <c r="AF97" s="20"/>
      <c r="AG97" s="20"/>
      <c r="AH97" s="20"/>
      <c r="AI97" s="20"/>
      <c r="AJ97" s="33"/>
      <c r="AK97" s="34"/>
    </row>
    <row r="98" spans="1:37" s="35" customFormat="1" ht="69.75" customHeight="1" x14ac:dyDescent="0.2">
      <c r="A98" s="1253" t="s">
        <v>1642</v>
      </c>
      <c r="B98" s="637" t="s">
        <v>1951</v>
      </c>
      <c r="C98" s="638" t="s">
        <v>1952</v>
      </c>
      <c r="D98" s="647" t="s">
        <v>570</v>
      </c>
      <c r="E98" s="610"/>
      <c r="F98" s="505"/>
      <c r="G98" s="1127">
        <v>0.52631578947368418</v>
      </c>
      <c r="H98" s="660" t="s">
        <v>594</v>
      </c>
      <c r="I98" s="1360">
        <v>10</v>
      </c>
      <c r="J98" s="935">
        <v>44200</v>
      </c>
      <c r="K98" s="936">
        <v>44561</v>
      </c>
      <c r="L98" s="908">
        <v>8.3333333333333339</v>
      </c>
      <c r="M98" s="715">
        <v>8.3333333333333339</v>
      </c>
      <c r="N98" s="715">
        <v>8.3333333333333339</v>
      </c>
      <c r="O98" s="715">
        <v>8.3333333333333339</v>
      </c>
      <c r="P98" s="715">
        <v>8.3333333333333339</v>
      </c>
      <c r="Q98" s="715">
        <v>8.3333333333333339</v>
      </c>
      <c r="R98" s="715">
        <v>8.3333333333333339</v>
      </c>
      <c r="S98" s="715">
        <v>8.3333333333333339</v>
      </c>
      <c r="T98" s="715">
        <v>8.3333333333333339</v>
      </c>
      <c r="U98" s="715">
        <v>8.3333333333333339</v>
      </c>
      <c r="V98" s="715">
        <v>8.3333333333333339</v>
      </c>
      <c r="W98" s="866">
        <v>8.3333333333333339</v>
      </c>
      <c r="X98" s="888">
        <f t="shared" si="23"/>
        <v>99.999999999999986</v>
      </c>
      <c r="Y98" s="663"/>
      <c r="Z98" s="20"/>
      <c r="AA98" s="20"/>
      <c r="AB98" s="20"/>
      <c r="AC98" s="20"/>
      <c r="AD98" s="20"/>
      <c r="AE98" s="20"/>
      <c r="AF98" s="20"/>
      <c r="AG98" s="20"/>
      <c r="AH98" s="20"/>
      <c r="AI98" s="20"/>
      <c r="AJ98" s="33"/>
      <c r="AK98" s="34"/>
    </row>
    <row r="99" spans="1:37" s="35" customFormat="1" ht="141.75" customHeight="1" x14ac:dyDescent="0.2">
      <c r="A99" s="1253" t="s">
        <v>1643</v>
      </c>
      <c r="B99" s="637" t="s">
        <v>590</v>
      </c>
      <c r="C99" s="637" t="s">
        <v>1959</v>
      </c>
      <c r="D99" s="647" t="s">
        <v>591</v>
      </c>
      <c r="E99" s="610"/>
      <c r="F99" s="505"/>
      <c r="G99" s="1127">
        <v>0.52631578947368418</v>
      </c>
      <c r="H99" s="654" t="s">
        <v>595</v>
      </c>
      <c r="I99" s="1360">
        <v>1200</v>
      </c>
      <c r="J99" s="935">
        <v>44200</v>
      </c>
      <c r="K99" s="936">
        <v>44561</v>
      </c>
      <c r="L99" s="908">
        <v>8.3333333333333339</v>
      </c>
      <c r="M99" s="715">
        <v>8.3333333333333339</v>
      </c>
      <c r="N99" s="715">
        <v>8.3333333333333339</v>
      </c>
      <c r="O99" s="715">
        <v>8.3333333333333339</v>
      </c>
      <c r="P99" s="715">
        <v>8.3333333333333339</v>
      </c>
      <c r="Q99" s="715">
        <v>8.3333333333333339</v>
      </c>
      <c r="R99" s="715">
        <v>8.3333333333333339</v>
      </c>
      <c r="S99" s="715">
        <v>8.3333333333333339</v>
      </c>
      <c r="T99" s="715">
        <v>8.3333333333333339</v>
      </c>
      <c r="U99" s="715">
        <v>8.3333333333333339</v>
      </c>
      <c r="V99" s="715">
        <v>8.3333333333333339</v>
      </c>
      <c r="W99" s="866">
        <v>8.3333333333333339</v>
      </c>
      <c r="X99" s="888">
        <f t="shared" si="23"/>
        <v>99.999999999999986</v>
      </c>
      <c r="Y99" s="663"/>
      <c r="Z99" s="20"/>
      <c r="AA99" s="20"/>
      <c r="AB99" s="20"/>
      <c r="AC99" s="20"/>
      <c r="AD99" s="20"/>
      <c r="AE99" s="20"/>
      <c r="AF99" s="20"/>
      <c r="AG99" s="20"/>
      <c r="AH99" s="20"/>
      <c r="AI99" s="20"/>
      <c r="AJ99" s="33"/>
      <c r="AK99" s="34"/>
    </row>
    <row r="100" spans="1:37" s="35" customFormat="1" ht="92.25" customHeight="1" x14ac:dyDescent="0.2">
      <c r="A100" s="1253" t="s">
        <v>1644</v>
      </c>
      <c r="B100" s="638" t="s">
        <v>1360</v>
      </c>
      <c r="C100" s="638" t="s">
        <v>1960</v>
      </c>
      <c r="D100" s="647" t="s">
        <v>574</v>
      </c>
      <c r="E100" s="610"/>
      <c r="F100" s="505"/>
      <c r="G100" s="1127">
        <v>0.52631578947368418</v>
      </c>
      <c r="H100" s="654" t="s">
        <v>584</v>
      </c>
      <c r="I100" s="1360">
        <v>100</v>
      </c>
      <c r="J100" s="935">
        <v>44200</v>
      </c>
      <c r="K100" s="936">
        <v>44561</v>
      </c>
      <c r="L100" s="908">
        <f>8*1</f>
        <v>8</v>
      </c>
      <c r="M100" s="908">
        <f t="shared" ref="M100:S100" si="24">8*1</f>
        <v>8</v>
      </c>
      <c r="N100" s="908">
        <f t="shared" si="24"/>
        <v>8</v>
      </c>
      <c r="O100" s="908">
        <f t="shared" si="24"/>
        <v>8</v>
      </c>
      <c r="P100" s="908">
        <f t="shared" si="24"/>
        <v>8</v>
      </c>
      <c r="Q100" s="908">
        <f t="shared" si="24"/>
        <v>8</v>
      </c>
      <c r="R100" s="908">
        <f t="shared" si="24"/>
        <v>8</v>
      </c>
      <c r="S100" s="908">
        <f t="shared" si="24"/>
        <v>8</v>
      </c>
      <c r="T100" s="908">
        <f>9*1</f>
        <v>9</v>
      </c>
      <c r="U100" s="908">
        <f t="shared" ref="U100:W100" si="25">9*1</f>
        <v>9</v>
      </c>
      <c r="V100" s="908">
        <f t="shared" si="25"/>
        <v>9</v>
      </c>
      <c r="W100" s="908">
        <f t="shared" si="25"/>
        <v>9</v>
      </c>
      <c r="X100" s="888">
        <f t="shared" si="23"/>
        <v>100</v>
      </c>
      <c r="Y100" s="663"/>
      <c r="Z100" s="20"/>
      <c r="AA100" s="20"/>
      <c r="AB100" s="20"/>
      <c r="AC100" s="20"/>
      <c r="AD100" s="20"/>
      <c r="AE100" s="20"/>
      <c r="AF100" s="20"/>
      <c r="AG100" s="20"/>
      <c r="AH100" s="20"/>
      <c r="AI100" s="20"/>
      <c r="AJ100" s="33"/>
      <c r="AK100" s="34"/>
    </row>
    <row r="101" spans="1:37" s="35" customFormat="1" ht="102" customHeight="1" x14ac:dyDescent="0.2">
      <c r="A101" s="1253" t="s">
        <v>1645</v>
      </c>
      <c r="B101" s="637" t="s">
        <v>1961</v>
      </c>
      <c r="C101" s="638" t="s">
        <v>1361</v>
      </c>
      <c r="D101" s="646" t="s">
        <v>539</v>
      </c>
      <c r="E101" s="610"/>
      <c r="F101" s="505"/>
      <c r="G101" s="1127">
        <v>0.52631578947368418</v>
      </c>
      <c r="H101" s="654" t="s">
        <v>582</v>
      </c>
      <c r="I101" s="1360">
        <v>6</v>
      </c>
      <c r="J101" s="935">
        <v>44228</v>
      </c>
      <c r="K101" s="936">
        <v>44561</v>
      </c>
      <c r="L101" s="908"/>
      <c r="M101" s="715">
        <v>16.7</v>
      </c>
      <c r="N101" s="715"/>
      <c r="O101" s="715"/>
      <c r="P101" s="715"/>
      <c r="Q101" s="715">
        <v>16.7</v>
      </c>
      <c r="R101" s="715"/>
      <c r="S101" s="715">
        <v>16.7</v>
      </c>
      <c r="T101" s="715">
        <v>16.7</v>
      </c>
      <c r="U101" s="715"/>
      <c r="V101" s="715">
        <v>16.600000000000001</v>
      </c>
      <c r="W101" s="866">
        <v>16.600000000000001</v>
      </c>
      <c r="X101" s="888">
        <f t="shared" si="23"/>
        <v>100</v>
      </c>
      <c r="Y101" s="663"/>
      <c r="Z101" s="20"/>
      <c r="AA101" s="20"/>
      <c r="AB101" s="20"/>
      <c r="AC101" s="20"/>
      <c r="AD101" s="20"/>
      <c r="AE101" s="20"/>
      <c r="AF101" s="20"/>
      <c r="AG101" s="20"/>
      <c r="AH101" s="20"/>
      <c r="AI101" s="20"/>
      <c r="AJ101" s="33"/>
      <c r="AK101" s="34"/>
    </row>
    <row r="102" spans="1:37" s="35" customFormat="1" ht="105" customHeight="1" x14ac:dyDescent="0.2">
      <c r="A102" s="1253" t="s">
        <v>1646</v>
      </c>
      <c r="B102" s="637" t="s">
        <v>1858</v>
      </c>
      <c r="C102" s="637" t="s">
        <v>1962</v>
      </c>
      <c r="D102" s="647" t="s">
        <v>569</v>
      </c>
      <c r="E102" s="610"/>
      <c r="F102" s="505"/>
      <c r="G102" s="1127">
        <v>0.52631578947368418</v>
      </c>
      <c r="H102" s="657" t="s">
        <v>583</v>
      </c>
      <c r="I102" s="1370">
        <v>40</v>
      </c>
      <c r="J102" s="935">
        <v>44200</v>
      </c>
      <c r="K102" s="936">
        <v>44561</v>
      </c>
      <c r="L102" s="908">
        <v>8.33</v>
      </c>
      <c r="M102" s="715">
        <v>8.3333333333333339</v>
      </c>
      <c r="N102" s="715">
        <v>8.3333333333333339</v>
      </c>
      <c r="O102" s="715">
        <v>8.3333333333333339</v>
      </c>
      <c r="P102" s="715">
        <v>8.3333333333333339</v>
      </c>
      <c r="Q102" s="715">
        <v>8.3333333333333339</v>
      </c>
      <c r="R102" s="715">
        <v>8.3333333333333339</v>
      </c>
      <c r="S102" s="715">
        <v>8.3333333333333339</v>
      </c>
      <c r="T102" s="715">
        <v>8.3333333333333339</v>
      </c>
      <c r="U102" s="715">
        <v>8.3333333333333339</v>
      </c>
      <c r="V102" s="715">
        <v>8.3333333333333339</v>
      </c>
      <c r="W102" s="866">
        <v>8.3333333333333339</v>
      </c>
      <c r="X102" s="888">
        <f t="shared" si="23"/>
        <v>99.996666666666655</v>
      </c>
      <c r="Y102" s="663"/>
      <c r="Z102" s="20"/>
      <c r="AA102" s="20"/>
      <c r="AB102" s="20"/>
      <c r="AC102" s="20"/>
      <c r="AD102" s="20"/>
      <c r="AE102" s="20"/>
      <c r="AF102" s="20"/>
      <c r="AG102" s="20"/>
      <c r="AH102" s="20"/>
      <c r="AI102" s="20"/>
      <c r="AJ102" s="33"/>
      <c r="AK102" s="34"/>
    </row>
    <row r="103" spans="1:37" s="35" customFormat="1" ht="81.75" customHeight="1" x14ac:dyDescent="0.2">
      <c r="A103" s="1253" t="s">
        <v>1647</v>
      </c>
      <c r="B103" s="638" t="s">
        <v>1362</v>
      </c>
      <c r="C103" s="637" t="s">
        <v>596</v>
      </c>
      <c r="D103" s="647" t="s">
        <v>570</v>
      </c>
      <c r="E103" s="610"/>
      <c r="F103" s="505"/>
      <c r="G103" s="1127">
        <v>0.52631578947368418</v>
      </c>
      <c r="H103" s="657" t="s">
        <v>583</v>
      </c>
      <c r="I103" s="1370">
        <v>12</v>
      </c>
      <c r="J103" s="935">
        <v>44200</v>
      </c>
      <c r="K103" s="936">
        <v>44561</v>
      </c>
      <c r="L103" s="908">
        <v>8.3333333333333339</v>
      </c>
      <c r="M103" s="715">
        <v>8.3333333333333339</v>
      </c>
      <c r="N103" s="715">
        <v>8.3333333333333339</v>
      </c>
      <c r="O103" s="715">
        <v>8.3333333333333339</v>
      </c>
      <c r="P103" s="715">
        <v>8.3333333333333339</v>
      </c>
      <c r="Q103" s="715">
        <v>8.3333333333333339</v>
      </c>
      <c r="R103" s="715">
        <v>8.3333333333333339</v>
      </c>
      <c r="S103" s="715">
        <v>8.3333333333333339</v>
      </c>
      <c r="T103" s="715">
        <v>8.3333333333333339</v>
      </c>
      <c r="U103" s="715">
        <v>8.3333333333333339</v>
      </c>
      <c r="V103" s="715">
        <v>8.3333333333333339</v>
      </c>
      <c r="W103" s="866">
        <v>8.3333333333333339</v>
      </c>
      <c r="X103" s="888">
        <f t="shared" si="23"/>
        <v>99.999999999999986</v>
      </c>
      <c r="Y103" s="663"/>
      <c r="Z103" s="20"/>
      <c r="AA103" s="20"/>
      <c r="AB103" s="20"/>
      <c r="AC103" s="20"/>
      <c r="AD103" s="20"/>
      <c r="AE103" s="20"/>
      <c r="AF103" s="20"/>
      <c r="AG103" s="20"/>
      <c r="AH103" s="20"/>
      <c r="AI103" s="20"/>
      <c r="AJ103" s="33"/>
      <c r="AK103" s="34"/>
    </row>
    <row r="104" spans="1:37" s="35" customFormat="1" ht="84" customHeight="1" x14ac:dyDescent="0.2">
      <c r="A104" s="1253" t="s">
        <v>1648</v>
      </c>
      <c r="B104" s="638" t="s">
        <v>597</v>
      </c>
      <c r="C104" s="637" t="s">
        <v>1963</v>
      </c>
      <c r="D104" s="647" t="s">
        <v>572</v>
      </c>
      <c r="E104" s="610"/>
      <c r="F104" s="505"/>
      <c r="G104" s="1127">
        <v>0.52631578947368418</v>
      </c>
      <c r="H104" s="657" t="s">
        <v>583</v>
      </c>
      <c r="I104" s="1370">
        <v>40</v>
      </c>
      <c r="J104" s="935">
        <v>44200</v>
      </c>
      <c r="K104" s="936">
        <v>44561</v>
      </c>
      <c r="L104" s="908">
        <v>8.3333333333333339</v>
      </c>
      <c r="M104" s="715">
        <v>8.3333333333333339</v>
      </c>
      <c r="N104" s="715">
        <v>8.3333333333333339</v>
      </c>
      <c r="O104" s="715">
        <v>8.3333333333333339</v>
      </c>
      <c r="P104" s="715">
        <v>8.3333333333333339</v>
      </c>
      <c r="Q104" s="715">
        <v>8.3333333333333339</v>
      </c>
      <c r="R104" s="715">
        <v>8.3333333333333339</v>
      </c>
      <c r="S104" s="715">
        <v>8.3333333333333339</v>
      </c>
      <c r="T104" s="715">
        <v>8.3333333333333339</v>
      </c>
      <c r="U104" s="715">
        <v>8.3333333333333339</v>
      </c>
      <c r="V104" s="715">
        <v>8.3333333333333339</v>
      </c>
      <c r="W104" s="866">
        <v>8.3333333333333339</v>
      </c>
      <c r="X104" s="888">
        <f t="shared" si="23"/>
        <v>99.999999999999986</v>
      </c>
      <c r="Y104" s="663"/>
      <c r="Z104" s="20"/>
      <c r="AA104" s="20"/>
      <c r="AB104" s="20"/>
      <c r="AC104" s="20"/>
      <c r="AD104" s="20"/>
      <c r="AE104" s="20"/>
      <c r="AF104" s="20"/>
      <c r="AG104" s="20"/>
      <c r="AH104" s="20"/>
      <c r="AI104" s="20"/>
      <c r="AJ104" s="33"/>
      <c r="AK104" s="34"/>
    </row>
    <row r="105" spans="1:37" s="35" customFormat="1" ht="81" customHeight="1" x14ac:dyDescent="0.2">
      <c r="A105" s="1253" t="s">
        <v>1649</v>
      </c>
      <c r="B105" s="637" t="s">
        <v>1363</v>
      </c>
      <c r="C105" s="638" t="s">
        <v>598</v>
      </c>
      <c r="D105" s="647" t="s">
        <v>570</v>
      </c>
      <c r="E105" s="610"/>
      <c r="F105" s="505"/>
      <c r="G105" s="1127">
        <v>0.52631578947368418</v>
      </c>
      <c r="H105" s="657" t="s">
        <v>583</v>
      </c>
      <c r="I105" s="1370">
        <v>12</v>
      </c>
      <c r="J105" s="935">
        <v>44200</v>
      </c>
      <c r="K105" s="936">
        <v>44561</v>
      </c>
      <c r="L105" s="908">
        <v>8.3333333333333339</v>
      </c>
      <c r="M105" s="715">
        <v>8.3333333333333339</v>
      </c>
      <c r="N105" s="715">
        <v>8.3333333333333339</v>
      </c>
      <c r="O105" s="715">
        <v>8.3333333333333339</v>
      </c>
      <c r="P105" s="715">
        <v>8.3333333333333339</v>
      </c>
      <c r="Q105" s="715">
        <v>8.3333333333333339</v>
      </c>
      <c r="R105" s="715">
        <v>8.3333333333333339</v>
      </c>
      <c r="S105" s="715">
        <v>8.3333333333333339</v>
      </c>
      <c r="T105" s="715">
        <v>8.3333333333333304</v>
      </c>
      <c r="U105" s="715">
        <v>8.3333333333333339</v>
      </c>
      <c r="V105" s="715">
        <v>8.3333333333333339</v>
      </c>
      <c r="W105" s="866">
        <v>8.3333333333333339</v>
      </c>
      <c r="X105" s="888">
        <f t="shared" si="23"/>
        <v>99.999999999999986</v>
      </c>
      <c r="Y105" s="663"/>
      <c r="Z105" s="20"/>
      <c r="AA105" s="20"/>
      <c r="AB105" s="20"/>
      <c r="AC105" s="20"/>
      <c r="AD105" s="20"/>
      <c r="AE105" s="20"/>
      <c r="AF105" s="20"/>
      <c r="AG105" s="20"/>
      <c r="AH105" s="20"/>
      <c r="AI105" s="20"/>
      <c r="AJ105" s="33"/>
      <c r="AK105" s="34"/>
    </row>
    <row r="106" spans="1:37" s="35" customFormat="1" ht="138.75" customHeight="1" x14ac:dyDescent="0.2">
      <c r="A106" s="1253" t="s">
        <v>1650</v>
      </c>
      <c r="B106" s="637" t="s">
        <v>599</v>
      </c>
      <c r="C106" s="637" t="s">
        <v>1964</v>
      </c>
      <c r="D106" s="647" t="s">
        <v>573</v>
      </c>
      <c r="E106" s="610"/>
      <c r="F106" s="505"/>
      <c r="G106" s="1127">
        <v>0.52631578947368418</v>
      </c>
      <c r="H106" s="657" t="s">
        <v>583</v>
      </c>
      <c r="I106" s="1370">
        <v>800</v>
      </c>
      <c r="J106" s="935">
        <v>44200</v>
      </c>
      <c r="K106" s="936">
        <v>44561</v>
      </c>
      <c r="L106" s="908">
        <f>66*0.125</f>
        <v>8.25</v>
      </c>
      <c r="M106" s="715">
        <f t="shared" ref="M106:N106" si="26">66*0.125</f>
        <v>8.25</v>
      </c>
      <c r="N106" s="715">
        <f t="shared" si="26"/>
        <v>8.25</v>
      </c>
      <c r="O106" s="715">
        <f>66*0.125</f>
        <v>8.25</v>
      </c>
      <c r="P106" s="715">
        <f t="shared" ref="P106:T106" si="27">67*0.125</f>
        <v>8.375</v>
      </c>
      <c r="Q106" s="715">
        <f t="shared" si="27"/>
        <v>8.375</v>
      </c>
      <c r="R106" s="715">
        <f t="shared" si="27"/>
        <v>8.375</v>
      </c>
      <c r="S106" s="715">
        <f t="shared" si="27"/>
        <v>8.375</v>
      </c>
      <c r="T106" s="715">
        <f t="shared" si="27"/>
        <v>8.375</v>
      </c>
      <c r="U106" s="715">
        <f>67*0.125</f>
        <v>8.375</v>
      </c>
      <c r="V106" s="715">
        <f>67*0.125</f>
        <v>8.375</v>
      </c>
      <c r="W106" s="866">
        <f>67*0.125</f>
        <v>8.375</v>
      </c>
      <c r="X106" s="888">
        <f t="shared" si="23"/>
        <v>100</v>
      </c>
      <c r="Y106" s="663"/>
      <c r="Z106" s="20"/>
      <c r="AA106" s="20"/>
      <c r="AB106" s="20"/>
      <c r="AC106" s="20"/>
      <c r="AD106" s="20"/>
      <c r="AE106" s="20"/>
      <c r="AF106" s="20"/>
      <c r="AG106" s="20"/>
      <c r="AH106" s="20"/>
      <c r="AI106" s="20"/>
      <c r="AJ106" s="33"/>
      <c r="AK106" s="34"/>
    </row>
    <row r="107" spans="1:37" s="35" customFormat="1" ht="78" customHeight="1" x14ac:dyDescent="0.2">
      <c r="A107" s="1253" t="s">
        <v>1651</v>
      </c>
      <c r="B107" s="638" t="s">
        <v>1549</v>
      </c>
      <c r="C107" s="638" t="s">
        <v>600</v>
      </c>
      <c r="D107" s="647" t="s">
        <v>574</v>
      </c>
      <c r="E107" s="610"/>
      <c r="F107" s="505"/>
      <c r="G107" s="1127">
        <v>0.52631578947368418</v>
      </c>
      <c r="H107" s="654" t="s">
        <v>584</v>
      </c>
      <c r="I107" s="1360">
        <v>35</v>
      </c>
      <c r="J107" s="935">
        <v>44200</v>
      </c>
      <c r="K107" s="936">
        <v>44561</v>
      </c>
      <c r="L107" s="908">
        <v>8.3333333333333339</v>
      </c>
      <c r="M107" s="908">
        <v>8.3333333333333339</v>
      </c>
      <c r="N107" s="908">
        <v>8.3333333333333339</v>
      </c>
      <c r="O107" s="908">
        <v>8.3333333333333339</v>
      </c>
      <c r="P107" s="908">
        <v>8.3333333333333339</v>
      </c>
      <c r="Q107" s="908">
        <v>8.3333333333333339</v>
      </c>
      <c r="R107" s="908">
        <v>8.3333333333333339</v>
      </c>
      <c r="S107" s="908">
        <v>8.3333333333333339</v>
      </c>
      <c r="T107" s="908">
        <v>8.3333333333333339</v>
      </c>
      <c r="U107" s="908">
        <v>8.3333333333333339</v>
      </c>
      <c r="V107" s="908">
        <v>8.3333333333333339</v>
      </c>
      <c r="W107" s="1207">
        <v>8.3333333333333339</v>
      </c>
      <c r="X107" s="888">
        <f t="shared" si="23"/>
        <v>99.999999999999986</v>
      </c>
      <c r="Y107" s="663"/>
      <c r="Z107" s="20"/>
      <c r="AA107" s="20"/>
      <c r="AB107" s="20"/>
      <c r="AC107" s="20"/>
      <c r="AD107" s="20"/>
      <c r="AE107" s="20"/>
      <c r="AF107" s="20"/>
      <c r="AG107" s="20"/>
      <c r="AH107" s="20"/>
      <c r="AI107" s="20"/>
      <c r="AJ107" s="33"/>
      <c r="AK107" s="34"/>
    </row>
    <row r="108" spans="1:37" s="35" customFormat="1" ht="63" customHeight="1" x14ac:dyDescent="0.2">
      <c r="A108" s="1253" t="s">
        <v>1652</v>
      </c>
      <c r="B108" s="637" t="s">
        <v>692</v>
      </c>
      <c r="C108" s="638" t="s">
        <v>1965</v>
      </c>
      <c r="D108" s="648" t="s">
        <v>693</v>
      </c>
      <c r="E108" s="610"/>
      <c r="F108" s="505"/>
      <c r="G108" s="1127">
        <v>0.52631578947368418</v>
      </c>
      <c r="H108" s="662" t="s">
        <v>715</v>
      </c>
      <c r="I108" s="1353">
        <v>1</v>
      </c>
      <c r="J108" s="935">
        <v>44200</v>
      </c>
      <c r="K108" s="936">
        <v>44225</v>
      </c>
      <c r="L108" s="912">
        <v>100</v>
      </c>
      <c r="M108" s="719"/>
      <c r="N108" s="719"/>
      <c r="O108" s="719"/>
      <c r="P108" s="719"/>
      <c r="Q108" s="719"/>
      <c r="R108" s="719"/>
      <c r="S108" s="719"/>
      <c r="T108" s="719"/>
      <c r="U108" s="719"/>
      <c r="V108" s="719"/>
      <c r="W108" s="870"/>
      <c r="X108" s="888">
        <f t="shared" ref="X108:X166" si="28">+SUM(L108:W108)</f>
        <v>100</v>
      </c>
      <c r="Y108" s="663"/>
      <c r="Z108" s="20"/>
      <c r="AA108" s="20"/>
      <c r="AB108" s="20"/>
      <c r="AC108" s="20"/>
      <c r="AD108" s="20"/>
      <c r="AE108" s="20"/>
      <c r="AF108" s="20"/>
      <c r="AG108" s="20"/>
      <c r="AH108" s="20"/>
      <c r="AI108" s="20"/>
      <c r="AJ108" s="33"/>
      <c r="AK108" s="34"/>
    </row>
    <row r="109" spans="1:37" s="35" customFormat="1" ht="92.25" customHeight="1" x14ac:dyDescent="0.2">
      <c r="A109" s="1253" t="s">
        <v>1653</v>
      </c>
      <c r="B109" s="637" t="s">
        <v>694</v>
      </c>
      <c r="C109" s="638" t="s">
        <v>1966</v>
      </c>
      <c r="D109" s="648" t="s">
        <v>695</v>
      </c>
      <c r="E109" s="610"/>
      <c r="F109" s="505"/>
      <c r="G109" s="1127">
        <v>0.52631578947368418</v>
      </c>
      <c r="H109" s="662" t="s">
        <v>716</v>
      </c>
      <c r="I109" s="1353">
        <v>1</v>
      </c>
      <c r="J109" s="935">
        <v>44287</v>
      </c>
      <c r="K109" s="936">
        <v>44316</v>
      </c>
      <c r="L109" s="912"/>
      <c r="M109" s="719"/>
      <c r="N109" s="719"/>
      <c r="O109" s="720">
        <v>100</v>
      </c>
      <c r="P109" s="719"/>
      <c r="Q109" s="719"/>
      <c r="R109" s="719"/>
      <c r="S109" s="719"/>
      <c r="T109" s="719"/>
      <c r="U109" s="719"/>
      <c r="V109" s="719"/>
      <c r="W109" s="870"/>
      <c r="X109" s="888">
        <f t="shared" si="28"/>
        <v>100</v>
      </c>
      <c r="Y109" s="663"/>
      <c r="Z109" s="20"/>
      <c r="AA109" s="20"/>
      <c r="AB109" s="20"/>
      <c r="AC109" s="20"/>
      <c r="AD109" s="20"/>
      <c r="AE109" s="20"/>
      <c r="AF109" s="20"/>
      <c r="AG109" s="20"/>
      <c r="AH109" s="20"/>
      <c r="AI109" s="20"/>
      <c r="AJ109" s="33"/>
      <c r="AK109" s="34"/>
    </row>
    <row r="110" spans="1:37" s="35" customFormat="1" ht="66.75" customHeight="1" x14ac:dyDescent="0.2">
      <c r="A110" s="1253" t="s">
        <v>1654</v>
      </c>
      <c r="B110" s="640" t="s">
        <v>696</v>
      </c>
      <c r="C110" s="640" t="s">
        <v>697</v>
      </c>
      <c r="D110" s="648" t="s">
        <v>698</v>
      </c>
      <c r="E110" s="610"/>
      <c r="F110" s="505"/>
      <c r="G110" s="1127">
        <v>0.52631578947368418</v>
      </c>
      <c r="H110" s="662" t="s">
        <v>717</v>
      </c>
      <c r="I110" s="1353">
        <v>40</v>
      </c>
      <c r="J110" s="935">
        <v>44287</v>
      </c>
      <c r="K110" s="936">
        <v>44561</v>
      </c>
      <c r="L110" s="910"/>
      <c r="M110" s="721"/>
      <c r="N110" s="721"/>
      <c r="O110" s="721">
        <v>25</v>
      </c>
      <c r="P110" s="721"/>
      <c r="Q110" s="721"/>
      <c r="R110" s="721">
        <v>25</v>
      </c>
      <c r="S110" s="721"/>
      <c r="T110" s="721">
        <v>25</v>
      </c>
      <c r="U110" s="721"/>
      <c r="V110" s="721"/>
      <c r="W110" s="871">
        <v>25</v>
      </c>
      <c r="X110" s="888">
        <f t="shared" si="28"/>
        <v>100</v>
      </c>
      <c r="Y110" s="663"/>
      <c r="Z110" s="20"/>
      <c r="AA110" s="20"/>
      <c r="AB110" s="20"/>
      <c r="AC110" s="20"/>
      <c r="AD110" s="20"/>
      <c r="AE110" s="20"/>
      <c r="AF110" s="20"/>
      <c r="AG110" s="20"/>
      <c r="AH110" s="20"/>
      <c r="AI110" s="20"/>
      <c r="AJ110" s="33"/>
      <c r="AK110" s="34"/>
    </row>
    <row r="111" spans="1:37" s="35" customFormat="1" ht="60.75" customHeight="1" x14ac:dyDescent="0.2">
      <c r="A111" s="1253" t="s">
        <v>1655</v>
      </c>
      <c r="B111" s="670" t="s">
        <v>699</v>
      </c>
      <c r="C111" s="671" t="s">
        <v>700</v>
      </c>
      <c r="D111" s="646" t="s">
        <v>701</v>
      </c>
      <c r="E111" s="610"/>
      <c r="F111" s="505"/>
      <c r="G111" s="1127">
        <v>0.52631578947368418</v>
      </c>
      <c r="H111" s="654" t="s">
        <v>718</v>
      </c>
      <c r="I111" s="1360">
        <v>4</v>
      </c>
      <c r="J111" s="935">
        <v>44228</v>
      </c>
      <c r="K111" s="936">
        <v>44530</v>
      </c>
      <c r="L111" s="910"/>
      <c r="M111" s="707">
        <v>25</v>
      </c>
      <c r="N111" s="707"/>
      <c r="O111" s="707"/>
      <c r="P111" s="707">
        <v>25</v>
      </c>
      <c r="Q111" s="707"/>
      <c r="R111" s="707"/>
      <c r="S111" s="707">
        <v>25</v>
      </c>
      <c r="T111" s="707"/>
      <c r="U111" s="707"/>
      <c r="V111" s="707">
        <v>25</v>
      </c>
      <c r="W111" s="861"/>
      <c r="X111" s="888">
        <f t="shared" si="28"/>
        <v>100</v>
      </c>
      <c r="Y111" s="663"/>
      <c r="Z111" s="20"/>
      <c r="AA111" s="20"/>
      <c r="AB111" s="20"/>
      <c r="AC111" s="20"/>
      <c r="AD111" s="20"/>
      <c r="AE111" s="20"/>
      <c r="AF111" s="20"/>
      <c r="AG111" s="20"/>
      <c r="AH111" s="20"/>
      <c r="AI111" s="20"/>
      <c r="AJ111" s="33"/>
      <c r="AK111" s="34"/>
    </row>
    <row r="112" spans="1:37" s="35" customFormat="1" ht="66.75" customHeight="1" x14ac:dyDescent="0.2">
      <c r="A112" s="1253" t="s">
        <v>1656</v>
      </c>
      <c r="B112" s="670" t="s">
        <v>702</v>
      </c>
      <c r="C112" s="671" t="s">
        <v>703</v>
      </c>
      <c r="D112" s="646" t="s">
        <v>701</v>
      </c>
      <c r="E112" s="610"/>
      <c r="F112" s="505"/>
      <c r="G112" s="1127">
        <v>0.52631578947368418</v>
      </c>
      <c r="H112" s="654" t="s">
        <v>719</v>
      </c>
      <c r="I112" s="1360">
        <v>4</v>
      </c>
      <c r="J112" s="935">
        <v>44256</v>
      </c>
      <c r="K112" s="936">
        <v>44530</v>
      </c>
      <c r="L112" s="910"/>
      <c r="M112" s="707"/>
      <c r="N112" s="707">
        <v>25</v>
      </c>
      <c r="O112" s="707"/>
      <c r="P112" s="707"/>
      <c r="Q112" s="707">
        <v>25</v>
      </c>
      <c r="R112" s="707"/>
      <c r="S112" s="707">
        <v>25</v>
      </c>
      <c r="T112" s="707"/>
      <c r="U112" s="707"/>
      <c r="V112" s="707">
        <v>25</v>
      </c>
      <c r="W112" s="861"/>
      <c r="X112" s="888">
        <f t="shared" si="28"/>
        <v>100</v>
      </c>
      <c r="Y112" s="663"/>
      <c r="Z112" s="20"/>
      <c r="AA112" s="20"/>
      <c r="AB112" s="20"/>
      <c r="AC112" s="20"/>
      <c r="AD112" s="20"/>
      <c r="AE112" s="20"/>
      <c r="AF112" s="20"/>
      <c r="AG112" s="20"/>
      <c r="AH112" s="20"/>
      <c r="AI112" s="20"/>
      <c r="AJ112" s="33"/>
      <c r="AK112" s="34"/>
    </row>
    <row r="113" spans="1:37" s="35" customFormat="1" ht="64.5" customHeight="1" x14ac:dyDescent="0.2">
      <c r="A113" s="1253" t="s">
        <v>1657</v>
      </c>
      <c r="B113" s="670" t="s">
        <v>704</v>
      </c>
      <c r="C113" s="671" t="s">
        <v>705</v>
      </c>
      <c r="D113" s="646" t="s">
        <v>701</v>
      </c>
      <c r="E113" s="610"/>
      <c r="F113" s="505"/>
      <c r="G113" s="1127">
        <v>0.52631578947368418</v>
      </c>
      <c r="H113" s="654" t="s">
        <v>720</v>
      </c>
      <c r="I113" s="1372">
        <v>250</v>
      </c>
      <c r="J113" s="935">
        <v>44200</v>
      </c>
      <c r="K113" s="936">
        <v>44530</v>
      </c>
      <c r="L113" s="910">
        <v>8</v>
      </c>
      <c r="M113" s="707">
        <v>8</v>
      </c>
      <c r="N113" s="707">
        <v>10</v>
      </c>
      <c r="O113" s="707">
        <v>10</v>
      </c>
      <c r="P113" s="707">
        <v>10</v>
      </c>
      <c r="Q113" s="707">
        <v>10</v>
      </c>
      <c r="R113" s="707">
        <v>10</v>
      </c>
      <c r="S113" s="707">
        <v>10</v>
      </c>
      <c r="T113" s="707">
        <v>8</v>
      </c>
      <c r="U113" s="707">
        <v>8</v>
      </c>
      <c r="V113" s="707">
        <v>8</v>
      </c>
      <c r="W113" s="861"/>
      <c r="X113" s="888">
        <f t="shared" si="28"/>
        <v>100</v>
      </c>
      <c r="Y113" s="663"/>
      <c r="Z113" s="20"/>
      <c r="AA113" s="20"/>
      <c r="AB113" s="20"/>
      <c r="AC113" s="20"/>
      <c r="AD113" s="20"/>
      <c r="AE113" s="20"/>
      <c r="AF113" s="20"/>
      <c r="AG113" s="20"/>
      <c r="AH113" s="20"/>
      <c r="AI113" s="20"/>
      <c r="AJ113" s="33"/>
      <c r="AK113" s="34"/>
    </row>
    <row r="114" spans="1:37" s="35" customFormat="1" ht="74.25" customHeight="1" x14ac:dyDescent="0.2">
      <c r="A114" s="1253" t="s">
        <v>1658</v>
      </c>
      <c r="B114" s="1008" t="s">
        <v>1368</v>
      </c>
      <c r="C114" s="1008" t="s">
        <v>1967</v>
      </c>
      <c r="D114" s="732" t="s">
        <v>706</v>
      </c>
      <c r="E114" s="610"/>
      <c r="F114" s="505"/>
      <c r="G114" s="1127">
        <v>0.52631578947368418</v>
      </c>
      <c r="H114" s="892" t="s">
        <v>721</v>
      </c>
      <c r="I114" s="1373">
        <v>94</v>
      </c>
      <c r="J114" s="1331">
        <v>44200</v>
      </c>
      <c r="K114" s="1332">
        <v>44561</v>
      </c>
      <c r="L114" s="910">
        <v>2</v>
      </c>
      <c r="M114" s="721">
        <v>2</v>
      </c>
      <c r="N114" s="721">
        <v>2</v>
      </c>
      <c r="O114" s="721">
        <v>2</v>
      </c>
      <c r="P114" s="721">
        <v>2</v>
      </c>
      <c r="Q114" s="721">
        <v>13</v>
      </c>
      <c r="R114" s="721">
        <v>13</v>
      </c>
      <c r="S114" s="721">
        <v>13</v>
      </c>
      <c r="T114" s="721">
        <v>13</v>
      </c>
      <c r="U114" s="721">
        <v>13</v>
      </c>
      <c r="V114" s="721">
        <v>13</v>
      </c>
      <c r="W114" s="871">
        <v>12</v>
      </c>
      <c r="X114" s="888">
        <f t="shared" si="28"/>
        <v>100</v>
      </c>
      <c r="Y114" s="663"/>
      <c r="Z114" s="20"/>
      <c r="AA114" s="20"/>
      <c r="AB114" s="20"/>
      <c r="AC114" s="20"/>
      <c r="AD114" s="20"/>
      <c r="AE114" s="20"/>
      <c r="AF114" s="20"/>
      <c r="AG114" s="20"/>
      <c r="AH114" s="20"/>
      <c r="AI114" s="20"/>
      <c r="AJ114" s="33"/>
      <c r="AK114" s="34"/>
    </row>
    <row r="115" spans="1:37" s="35" customFormat="1" ht="56.25" customHeight="1" x14ac:dyDescent="0.2">
      <c r="A115" s="1253" t="s">
        <v>1659</v>
      </c>
      <c r="B115" s="675" t="s">
        <v>707</v>
      </c>
      <c r="C115" s="687" t="s">
        <v>708</v>
      </c>
      <c r="D115" s="732" t="s">
        <v>706</v>
      </c>
      <c r="E115" s="610"/>
      <c r="F115" s="505"/>
      <c r="G115" s="1127">
        <v>0.52631578947368418</v>
      </c>
      <c r="H115" s="892" t="s">
        <v>722</v>
      </c>
      <c r="I115" s="1373">
        <v>37</v>
      </c>
      <c r="J115" s="1331">
        <v>44200</v>
      </c>
      <c r="K115" s="1332">
        <v>44561</v>
      </c>
      <c r="L115" s="910">
        <v>3</v>
      </c>
      <c r="M115" s="721">
        <v>5</v>
      </c>
      <c r="N115" s="721">
        <v>5</v>
      </c>
      <c r="O115" s="721">
        <v>5</v>
      </c>
      <c r="P115" s="721">
        <v>5</v>
      </c>
      <c r="Q115" s="721">
        <v>11</v>
      </c>
      <c r="R115" s="721">
        <v>11</v>
      </c>
      <c r="S115" s="721">
        <v>11</v>
      </c>
      <c r="T115" s="721">
        <v>11</v>
      </c>
      <c r="U115" s="721">
        <v>11</v>
      </c>
      <c r="V115" s="721">
        <v>11</v>
      </c>
      <c r="W115" s="871">
        <v>11</v>
      </c>
      <c r="X115" s="888">
        <f t="shared" si="28"/>
        <v>100</v>
      </c>
      <c r="Y115" s="663"/>
      <c r="Z115" s="20"/>
      <c r="AA115" s="20"/>
      <c r="AB115" s="20"/>
      <c r="AC115" s="20"/>
      <c r="AD115" s="20"/>
      <c r="AE115" s="20"/>
      <c r="AF115" s="20"/>
      <c r="AG115" s="20"/>
      <c r="AH115" s="20"/>
      <c r="AI115" s="20"/>
      <c r="AJ115" s="33"/>
      <c r="AK115" s="34"/>
    </row>
    <row r="116" spans="1:37" s="35" customFormat="1" ht="56.25" customHeight="1" x14ac:dyDescent="0.2">
      <c r="A116" s="1253" t="s">
        <v>1660</v>
      </c>
      <c r="B116" s="1008" t="s">
        <v>1369</v>
      </c>
      <c r="C116" s="1008" t="s">
        <v>709</v>
      </c>
      <c r="D116" s="732" t="s">
        <v>710</v>
      </c>
      <c r="E116" s="610"/>
      <c r="F116" s="505"/>
      <c r="G116" s="1127">
        <v>0.52631578947368418</v>
      </c>
      <c r="H116" s="892" t="s">
        <v>575</v>
      </c>
      <c r="I116" s="1373">
        <v>12</v>
      </c>
      <c r="J116" s="1331">
        <v>44348</v>
      </c>
      <c r="K116" s="936">
        <v>44530</v>
      </c>
      <c r="L116" s="910"/>
      <c r="M116" s="721"/>
      <c r="N116" s="721"/>
      <c r="O116" s="721"/>
      <c r="P116" s="721"/>
      <c r="Q116" s="721">
        <v>50</v>
      </c>
      <c r="R116" s="721"/>
      <c r="S116" s="721"/>
      <c r="T116" s="721"/>
      <c r="U116" s="721"/>
      <c r="V116" s="721">
        <v>50</v>
      </c>
      <c r="W116" s="871"/>
      <c r="X116" s="888">
        <f t="shared" si="28"/>
        <v>100</v>
      </c>
      <c r="Y116" s="663"/>
      <c r="Z116" s="20"/>
      <c r="AA116" s="20"/>
      <c r="AB116" s="20"/>
      <c r="AC116" s="20"/>
      <c r="AD116" s="20"/>
      <c r="AE116" s="20"/>
      <c r="AF116" s="20"/>
      <c r="AG116" s="20"/>
      <c r="AH116" s="20"/>
      <c r="AI116" s="20"/>
      <c r="AJ116" s="33"/>
      <c r="AK116" s="34"/>
    </row>
    <row r="117" spans="1:37" s="35" customFormat="1" ht="81" customHeight="1" x14ac:dyDescent="0.2">
      <c r="A117" s="1253" t="s">
        <v>1661</v>
      </c>
      <c r="B117" s="1008" t="s">
        <v>1370</v>
      </c>
      <c r="C117" s="1008" t="s">
        <v>711</v>
      </c>
      <c r="D117" s="732" t="s">
        <v>712</v>
      </c>
      <c r="E117" s="610"/>
      <c r="F117" s="505"/>
      <c r="G117" s="1127">
        <v>0.52631578947368418</v>
      </c>
      <c r="H117" s="892" t="s">
        <v>723</v>
      </c>
      <c r="I117" s="1373">
        <v>2</v>
      </c>
      <c r="J117" s="1331">
        <v>44348</v>
      </c>
      <c r="K117" s="936">
        <v>44530</v>
      </c>
      <c r="L117" s="910"/>
      <c r="M117" s="721"/>
      <c r="N117" s="721"/>
      <c r="O117" s="721"/>
      <c r="P117" s="721"/>
      <c r="Q117" s="721">
        <v>50</v>
      </c>
      <c r="R117" s="721"/>
      <c r="S117" s="721"/>
      <c r="T117" s="721"/>
      <c r="U117" s="721"/>
      <c r="V117" s="721">
        <v>50</v>
      </c>
      <c r="W117" s="871"/>
      <c r="X117" s="888">
        <f t="shared" si="28"/>
        <v>100</v>
      </c>
      <c r="Y117" s="663"/>
      <c r="Z117" s="20"/>
      <c r="AA117" s="20"/>
      <c r="AB117" s="20"/>
      <c r="AC117" s="20"/>
      <c r="AD117" s="20"/>
      <c r="AE117" s="20"/>
      <c r="AF117" s="20"/>
      <c r="AG117" s="20"/>
      <c r="AH117" s="20"/>
      <c r="AI117" s="20"/>
      <c r="AJ117" s="33"/>
      <c r="AK117" s="34"/>
    </row>
    <row r="118" spans="1:37" s="35" customFormat="1" ht="69.75" customHeight="1" x14ac:dyDescent="0.2">
      <c r="A118" s="1253" t="s">
        <v>1662</v>
      </c>
      <c r="B118" s="637" t="s">
        <v>1371</v>
      </c>
      <c r="C118" s="638" t="s">
        <v>1566</v>
      </c>
      <c r="D118" s="733" t="s">
        <v>712</v>
      </c>
      <c r="E118" s="610"/>
      <c r="F118" s="505"/>
      <c r="G118" s="1127">
        <v>0.52631578947368418</v>
      </c>
      <c r="H118" s="662" t="s">
        <v>575</v>
      </c>
      <c r="I118" s="1353">
        <v>2</v>
      </c>
      <c r="J118" s="1331">
        <v>44348</v>
      </c>
      <c r="K118" s="936">
        <v>44530</v>
      </c>
      <c r="L118" s="910"/>
      <c r="M118" s="708"/>
      <c r="N118" s="708"/>
      <c r="O118" s="708"/>
      <c r="P118" s="708"/>
      <c r="Q118" s="708">
        <v>50</v>
      </c>
      <c r="R118" s="708"/>
      <c r="S118" s="707"/>
      <c r="T118" s="707"/>
      <c r="U118" s="707"/>
      <c r="V118" s="707">
        <v>50</v>
      </c>
      <c r="W118" s="871"/>
      <c r="X118" s="888">
        <f t="shared" si="28"/>
        <v>100</v>
      </c>
      <c r="Y118" s="663"/>
      <c r="Z118" s="20"/>
      <c r="AA118" s="20"/>
      <c r="AB118" s="20"/>
      <c r="AC118" s="20"/>
      <c r="AD118" s="20"/>
      <c r="AE118" s="20"/>
      <c r="AF118" s="20"/>
      <c r="AG118" s="20"/>
      <c r="AH118" s="20"/>
      <c r="AI118" s="20"/>
      <c r="AJ118" s="33"/>
      <c r="AK118" s="34"/>
    </row>
    <row r="119" spans="1:37" s="35" customFormat="1" ht="69" customHeight="1" x14ac:dyDescent="0.2">
      <c r="A119" s="1253" t="s">
        <v>1663</v>
      </c>
      <c r="B119" s="670" t="s">
        <v>713</v>
      </c>
      <c r="C119" s="671" t="s">
        <v>1241</v>
      </c>
      <c r="D119" s="733" t="s">
        <v>714</v>
      </c>
      <c r="E119" s="610"/>
      <c r="F119" s="505"/>
      <c r="G119" s="1127">
        <v>0.52631578947368418</v>
      </c>
      <c r="H119" s="661" t="s">
        <v>575</v>
      </c>
      <c r="I119" s="1374">
        <v>400</v>
      </c>
      <c r="J119" s="935">
        <v>44200</v>
      </c>
      <c r="K119" s="936">
        <v>44561</v>
      </c>
      <c r="L119" s="910">
        <v>5</v>
      </c>
      <c r="M119" s="721">
        <v>5</v>
      </c>
      <c r="N119" s="721">
        <v>10</v>
      </c>
      <c r="O119" s="721">
        <v>10</v>
      </c>
      <c r="P119" s="721">
        <v>10</v>
      </c>
      <c r="Q119" s="721">
        <v>10</v>
      </c>
      <c r="R119" s="721">
        <v>10</v>
      </c>
      <c r="S119" s="721">
        <v>10</v>
      </c>
      <c r="T119" s="721">
        <v>10</v>
      </c>
      <c r="U119" s="721">
        <v>10</v>
      </c>
      <c r="V119" s="721">
        <v>5</v>
      </c>
      <c r="W119" s="871">
        <v>5</v>
      </c>
      <c r="X119" s="888">
        <f t="shared" si="28"/>
        <v>100</v>
      </c>
      <c r="Y119" s="663"/>
      <c r="Z119" s="20"/>
      <c r="AA119" s="20"/>
      <c r="AB119" s="20"/>
      <c r="AC119" s="20"/>
      <c r="AD119" s="20"/>
      <c r="AE119" s="20"/>
      <c r="AF119" s="20"/>
      <c r="AG119" s="20"/>
      <c r="AH119" s="20"/>
      <c r="AI119" s="20"/>
      <c r="AJ119" s="33"/>
      <c r="AK119" s="34"/>
    </row>
    <row r="120" spans="1:37" s="35" customFormat="1" ht="76.5" customHeight="1" x14ac:dyDescent="0.2">
      <c r="A120" s="1253" t="s">
        <v>1664</v>
      </c>
      <c r="B120" s="1008" t="s">
        <v>1372</v>
      </c>
      <c r="C120" s="1008" t="s">
        <v>1968</v>
      </c>
      <c r="D120" s="650" t="s">
        <v>724</v>
      </c>
      <c r="E120" s="610"/>
      <c r="F120" s="505"/>
      <c r="G120" s="1127">
        <v>0.52631578947368418</v>
      </c>
      <c r="H120" s="608" t="s">
        <v>730</v>
      </c>
      <c r="I120" s="1365">
        <v>13</v>
      </c>
      <c r="J120" s="1327">
        <v>44228</v>
      </c>
      <c r="K120" s="1328">
        <v>44561</v>
      </c>
      <c r="L120" s="913"/>
      <c r="M120" s="722">
        <f>1*7.69230769230769</f>
        <v>7.6923076923076898</v>
      </c>
      <c r="N120" s="722">
        <f t="shared" ref="N120:P120" si="29">1*7.69230769230769</f>
        <v>7.6923076923076898</v>
      </c>
      <c r="O120" s="722">
        <f t="shared" si="29"/>
        <v>7.6923076923076898</v>
      </c>
      <c r="P120" s="722">
        <f t="shared" si="29"/>
        <v>7.6923076923076898</v>
      </c>
      <c r="Q120" s="722">
        <f>2*7.69230769230769</f>
        <v>15.38461538461538</v>
      </c>
      <c r="R120" s="722">
        <f>1*7.69230769230769</f>
        <v>7.6923076923076898</v>
      </c>
      <c r="S120" s="722">
        <f t="shared" ref="S120:V120" si="30">1*7.69230769230769</f>
        <v>7.6923076923076898</v>
      </c>
      <c r="T120" s="722">
        <f t="shared" si="30"/>
        <v>7.6923076923076898</v>
      </c>
      <c r="U120" s="722">
        <f t="shared" si="30"/>
        <v>7.6923076923076898</v>
      </c>
      <c r="V120" s="722">
        <f t="shared" si="30"/>
        <v>7.6923076923076898</v>
      </c>
      <c r="W120" s="872">
        <v>15.4</v>
      </c>
      <c r="X120" s="888">
        <f t="shared" si="28"/>
        <v>100.0153846153846</v>
      </c>
      <c r="Y120" s="663"/>
      <c r="Z120" s="20"/>
      <c r="AA120" s="20"/>
      <c r="AB120" s="20"/>
      <c r="AC120" s="20"/>
      <c r="AD120" s="20"/>
      <c r="AE120" s="20"/>
      <c r="AF120" s="20"/>
      <c r="AG120" s="20"/>
      <c r="AH120" s="20"/>
      <c r="AI120" s="20"/>
      <c r="AJ120" s="33"/>
      <c r="AK120" s="34"/>
    </row>
    <row r="121" spans="1:37" s="35" customFormat="1" ht="66" customHeight="1" x14ac:dyDescent="0.2">
      <c r="A121" s="1253" t="s">
        <v>1665</v>
      </c>
      <c r="B121" s="676" t="s">
        <v>725</v>
      </c>
      <c r="C121" s="675" t="s">
        <v>1242</v>
      </c>
      <c r="D121" s="649" t="s">
        <v>724</v>
      </c>
      <c r="E121" s="610"/>
      <c r="F121" s="505"/>
      <c r="G121" s="1127">
        <v>0.52631578947368418</v>
      </c>
      <c r="H121" s="608" t="s">
        <v>731</v>
      </c>
      <c r="I121" s="1374">
        <v>840</v>
      </c>
      <c r="J121" s="1327">
        <v>44200</v>
      </c>
      <c r="K121" s="1328">
        <v>44561</v>
      </c>
      <c r="L121" s="913">
        <f>60*0.138888888888889</f>
        <v>8.333333333333341</v>
      </c>
      <c r="M121" s="722">
        <f t="shared" ref="M121:W122" si="31">60*0.138888888888889</f>
        <v>8.333333333333341</v>
      </c>
      <c r="N121" s="722">
        <f t="shared" si="31"/>
        <v>8.333333333333341</v>
      </c>
      <c r="O121" s="722">
        <f t="shared" si="31"/>
        <v>8.333333333333341</v>
      </c>
      <c r="P121" s="722">
        <f t="shared" si="31"/>
        <v>8.333333333333341</v>
      </c>
      <c r="Q121" s="722">
        <f t="shared" si="31"/>
        <v>8.333333333333341</v>
      </c>
      <c r="R121" s="722">
        <f t="shared" si="31"/>
        <v>8.333333333333341</v>
      </c>
      <c r="S121" s="722">
        <f t="shared" si="31"/>
        <v>8.333333333333341</v>
      </c>
      <c r="T121" s="722">
        <f t="shared" si="31"/>
        <v>8.333333333333341</v>
      </c>
      <c r="U121" s="722">
        <f t="shared" si="31"/>
        <v>8.333333333333341</v>
      </c>
      <c r="V121" s="722">
        <f t="shared" si="31"/>
        <v>8.333333333333341</v>
      </c>
      <c r="W121" s="872">
        <f t="shared" si="31"/>
        <v>8.333333333333341</v>
      </c>
      <c r="X121" s="888">
        <f t="shared" si="28"/>
        <v>100.0000000000001</v>
      </c>
      <c r="Y121" s="663"/>
      <c r="Z121" s="20"/>
      <c r="AA121" s="20"/>
      <c r="AB121" s="20"/>
      <c r="AC121" s="20"/>
      <c r="AD121" s="20"/>
      <c r="AE121" s="20"/>
      <c r="AF121" s="20"/>
      <c r="AG121" s="20"/>
      <c r="AH121" s="20"/>
      <c r="AI121" s="20"/>
      <c r="AJ121" s="33"/>
      <c r="AK121" s="34"/>
    </row>
    <row r="122" spans="1:37" s="35" customFormat="1" ht="62.25" customHeight="1" x14ac:dyDescent="0.2">
      <c r="A122" s="1253" t="s">
        <v>1666</v>
      </c>
      <c r="B122" s="677" t="s">
        <v>726</v>
      </c>
      <c r="C122" s="675" t="s">
        <v>727</v>
      </c>
      <c r="D122" s="652" t="s">
        <v>724</v>
      </c>
      <c r="E122" s="610"/>
      <c r="F122" s="505"/>
      <c r="G122" s="1127">
        <v>0.52631578947368418</v>
      </c>
      <c r="H122" s="608" t="s">
        <v>732</v>
      </c>
      <c r="I122" s="1361">
        <v>2500</v>
      </c>
      <c r="J122" s="1327">
        <v>44200</v>
      </c>
      <c r="K122" s="1328">
        <v>44561</v>
      </c>
      <c r="L122" s="913">
        <f>241*0.0344827586206897</f>
        <v>8.3103448275862188</v>
      </c>
      <c r="M122" s="722">
        <f>241*0.0344827586206897</f>
        <v>8.3103448275862188</v>
      </c>
      <c r="N122" s="722">
        <f>241*0.0344827586206897</f>
        <v>8.3103448275862188</v>
      </c>
      <c r="O122" s="722">
        <f t="shared" si="31"/>
        <v>8.333333333333341</v>
      </c>
      <c r="P122" s="722">
        <f t="shared" si="31"/>
        <v>8.333333333333341</v>
      </c>
      <c r="Q122" s="722">
        <f t="shared" si="31"/>
        <v>8.333333333333341</v>
      </c>
      <c r="R122" s="722">
        <f t="shared" ref="R122:W122" si="32">242*0.0344827586206897</f>
        <v>8.3448275862069075</v>
      </c>
      <c r="S122" s="722">
        <f t="shared" si="32"/>
        <v>8.3448275862069075</v>
      </c>
      <c r="T122" s="722">
        <f t="shared" si="32"/>
        <v>8.3448275862069075</v>
      </c>
      <c r="U122" s="722">
        <f t="shared" si="32"/>
        <v>8.3448275862069075</v>
      </c>
      <c r="V122" s="722">
        <f t="shared" si="32"/>
        <v>8.3448275862069075</v>
      </c>
      <c r="W122" s="872">
        <f t="shared" si="32"/>
        <v>8.3448275862069075</v>
      </c>
      <c r="X122" s="888">
        <f t="shared" si="28"/>
        <v>100.00000000000011</v>
      </c>
      <c r="Y122" s="663"/>
      <c r="Z122" s="20"/>
      <c r="AA122" s="20"/>
      <c r="AB122" s="20"/>
      <c r="AC122" s="20"/>
      <c r="AD122" s="20"/>
      <c r="AE122" s="20"/>
      <c r="AF122" s="20"/>
      <c r="AG122" s="20"/>
      <c r="AH122" s="20"/>
      <c r="AI122" s="20"/>
      <c r="AJ122" s="33"/>
      <c r="AK122" s="34"/>
    </row>
    <row r="123" spans="1:37" s="35" customFormat="1" ht="63" customHeight="1" x14ac:dyDescent="0.2">
      <c r="A123" s="1253" t="s">
        <v>1667</v>
      </c>
      <c r="B123" s="675" t="s">
        <v>728</v>
      </c>
      <c r="C123" s="688" t="s">
        <v>729</v>
      </c>
      <c r="D123" s="649" t="s">
        <v>724</v>
      </c>
      <c r="E123" s="610"/>
      <c r="F123" s="505"/>
      <c r="G123" s="1127">
        <v>0.52631578947368418</v>
      </c>
      <c r="H123" s="661" t="s">
        <v>733</v>
      </c>
      <c r="I123" s="1374">
        <v>1</v>
      </c>
      <c r="J123" s="1327">
        <v>44228</v>
      </c>
      <c r="K123" s="1328">
        <v>44253</v>
      </c>
      <c r="L123" s="914"/>
      <c r="M123" s="722">
        <v>100</v>
      </c>
      <c r="N123" s="722"/>
      <c r="O123" s="722"/>
      <c r="P123" s="722"/>
      <c r="Q123" s="722"/>
      <c r="R123" s="722"/>
      <c r="S123" s="722"/>
      <c r="T123" s="722"/>
      <c r="U123" s="722"/>
      <c r="V123" s="722"/>
      <c r="W123" s="872"/>
      <c r="X123" s="888">
        <f t="shared" si="28"/>
        <v>100</v>
      </c>
      <c r="Y123" s="663"/>
      <c r="Z123" s="20"/>
      <c r="AA123" s="20"/>
      <c r="AB123" s="20"/>
      <c r="AC123" s="20"/>
      <c r="AD123" s="20"/>
      <c r="AE123" s="20"/>
      <c r="AF123" s="20"/>
      <c r="AG123" s="20"/>
      <c r="AH123" s="20"/>
      <c r="AI123" s="20"/>
      <c r="AJ123" s="33"/>
      <c r="AK123" s="34"/>
    </row>
    <row r="124" spans="1:37" s="35" customFormat="1" ht="58.5" customHeight="1" x14ac:dyDescent="0.2">
      <c r="A124" s="1253" t="s">
        <v>1668</v>
      </c>
      <c r="B124" s="675" t="s">
        <v>734</v>
      </c>
      <c r="C124" s="675" t="s">
        <v>735</v>
      </c>
      <c r="D124" s="649" t="s">
        <v>724</v>
      </c>
      <c r="E124" s="610"/>
      <c r="F124" s="505"/>
      <c r="G124" s="1127">
        <v>0.52631578947368418</v>
      </c>
      <c r="H124" s="661" t="s">
        <v>733</v>
      </c>
      <c r="I124" s="1374">
        <v>1</v>
      </c>
      <c r="J124" s="1327">
        <v>44228</v>
      </c>
      <c r="K124" s="1328">
        <v>44253</v>
      </c>
      <c r="L124" s="913"/>
      <c r="M124" s="722">
        <v>100</v>
      </c>
      <c r="N124" s="722"/>
      <c r="O124" s="722"/>
      <c r="P124" s="722"/>
      <c r="Q124" s="722"/>
      <c r="R124" s="722"/>
      <c r="S124" s="722"/>
      <c r="T124" s="722"/>
      <c r="U124" s="722"/>
      <c r="V124" s="722"/>
      <c r="W124" s="872"/>
      <c r="X124" s="888">
        <f t="shared" si="28"/>
        <v>100</v>
      </c>
      <c r="Y124" s="663"/>
      <c r="Z124" s="20"/>
      <c r="AA124" s="20"/>
      <c r="AB124" s="20"/>
      <c r="AC124" s="20"/>
      <c r="AD124" s="20"/>
      <c r="AE124" s="20"/>
      <c r="AF124" s="20"/>
      <c r="AG124" s="20"/>
      <c r="AH124" s="20"/>
      <c r="AI124" s="20"/>
      <c r="AJ124" s="33"/>
      <c r="AK124" s="34"/>
    </row>
    <row r="125" spans="1:37" s="35" customFormat="1" ht="87" customHeight="1" x14ac:dyDescent="0.2">
      <c r="A125" s="1253" t="s">
        <v>1669</v>
      </c>
      <c r="B125" s="676" t="s">
        <v>736</v>
      </c>
      <c r="C125" s="688" t="s">
        <v>1969</v>
      </c>
      <c r="D125" s="649" t="s">
        <v>724</v>
      </c>
      <c r="E125" s="610"/>
      <c r="F125" s="505"/>
      <c r="G125" s="1127">
        <v>0.52631578947368418</v>
      </c>
      <c r="H125" s="661" t="s">
        <v>733</v>
      </c>
      <c r="I125" s="1374">
        <v>1</v>
      </c>
      <c r="J125" s="1327">
        <v>44228</v>
      </c>
      <c r="K125" s="1328">
        <v>44253</v>
      </c>
      <c r="L125" s="913"/>
      <c r="M125" s="722">
        <v>100</v>
      </c>
      <c r="N125" s="722"/>
      <c r="O125" s="722"/>
      <c r="P125" s="722"/>
      <c r="Q125" s="722"/>
      <c r="R125" s="722"/>
      <c r="S125" s="722"/>
      <c r="T125" s="722"/>
      <c r="U125" s="722"/>
      <c r="V125" s="722"/>
      <c r="W125" s="872"/>
      <c r="X125" s="888">
        <f t="shared" si="28"/>
        <v>100</v>
      </c>
      <c r="Y125" s="663"/>
      <c r="Z125" s="20"/>
      <c r="AA125" s="20"/>
      <c r="AB125" s="20"/>
      <c r="AC125" s="20"/>
      <c r="AD125" s="20"/>
      <c r="AE125" s="20"/>
      <c r="AF125" s="20"/>
      <c r="AG125" s="20"/>
      <c r="AH125" s="20"/>
      <c r="AI125" s="20"/>
      <c r="AJ125" s="33"/>
      <c r="AK125" s="34"/>
    </row>
    <row r="126" spans="1:37" s="35" customFormat="1" ht="69.75" customHeight="1" x14ac:dyDescent="0.2">
      <c r="A126" s="1253" t="s">
        <v>1670</v>
      </c>
      <c r="B126" s="678" t="s">
        <v>737</v>
      </c>
      <c r="C126" s="689" t="s">
        <v>559</v>
      </c>
      <c r="D126" s="649" t="s">
        <v>724</v>
      </c>
      <c r="E126" s="610"/>
      <c r="F126" s="505"/>
      <c r="G126" s="1127">
        <v>0.52631578947368418</v>
      </c>
      <c r="H126" s="661" t="s">
        <v>733</v>
      </c>
      <c r="I126" s="1374">
        <v>1</v>
      </c>
      <c r="J126" s="1327">
        <v>44228</v>
      </c>
      <c r="K126" s="1328">
        <v>44253</v>
      </c>
      <c r="L126" s="914"/>
      <c r="M126" s="722">
        <v>100</v>
      </c>
      <c r="N126" s="722"/>
      <c r="O126" s="722"/>
      <c r="P126" s="722"/>
      <c r="Q126" s="722"/>
      <c r="R126" s="722"/>
      <c r="S126" s="722"/>
      <c r="T126" s="722"/>
      <c r="U126" s="722"/>
      <c r="V126" s="722"/>
      <c r="W126" s="872"/>
      <c r="X126" s="888">
        <f t="shared" si="28"/>
        <v>100</v>
      </c>
      <c r="Y126" s="663"/>
      <c r="Z126" s="20"/>
      <c r="AA126" s="20"/>
      <c r="AB126" s="20"/>
      <c r="AC126" s="20"/>
      <c r="AD126" s="20"/>
      <c r="AE126" s="20"/>
      <c r="AF126" s="20"/>
      <c r="AG126" s="20"/>
      <c r="AH126" s="20"/>
      <c r="AI126" s="20"/>
      <c r="AJ126" s="33"/>
      <c r="AK126" s="34"/>
    </row>
    <row r="127" spans="1:37" s="35" customFormat="1" ht="75.75" customHeight="1" x14ac:dyDescent="0.2">
      <c r="A127" s="1253" t="s">
        <v>1671</v>
      </c>
      <c r="B127" s="1008" t="s">
        <v>1373</v>
      </c>
      <c r="C127" s="1008" t="s">
        <v>738</v>
      </c>
      <c r="D127" s="652" t="s">
        <v>968</v>
      </c>
      <c r="E127" s="610"/>
      <c r="F127" s="505"/>
      <c r="G127" s="1127">
        <v>0.52631578947368418</v>
      </c>
      <c r="H127" s="608" t="s">
        <v>746</v>
      </c>
      <c r="I127" s="1365">
        <v>2</v>
      </c>
      <c r="J127" s="1327">
        <v>44200</v>
      </c>
      <c r="K127" s="1328">
        <v>44253</v>
      </c>
      <c r="L127" s="1129">
        <v>50</v>
      </c>
      <c r="M127" s="1130">
        <v>50</v>
      </c>
      <c r="N127" s="1130"/>
      <c r="O127" s="1130"/>
      <c r="P127" s="1130"/>
      <c r="Q127" s="727"/>
      <c r="R127" s="727"/>
      <c r="S127" s="727"/>
      <c r="T127" s="727"/>
      <c r="U127" s="727"/>
      <c r="V127" s="727"/>
      <c r="W127" s="872"/>
      <c r="X127" s="888">
        <f t="shared" si="28"/>
        <v>100</v>
      </c>
      <c r="Y127" s="663"/>
      <c r="Z127" s="20"/>
      <c r="AA127" s="20"/>
      <c r="AB127" s="20"/>
      <c r="AC127" s="20"/>
      <c r="AD127" s="20"/>
      <c r="AE127" s="20"/>
      <c r="AF127" s="20"/>
      <c r="AG127" s="20"/>
      <c r="AH127" s="20"/>
      <c r="AI127" s="20"/>
      <c r="AJ127" s="33"/>
      <c r="AK127" s="34"/>
    </row>
    <row r="128" spans="1:37" s="35" customFormat="1" ht="84.75" customHeight="1" x14ac:dyDescent="0.2">
      <c r="A128" s="1253" t="s">
        <v>1672</v>
      </c>
      <c r="B128" s="1009" t="s">
        <v>1374</v>
      </c>
      <c r="C128" s="1008" t="s">
        <v>739</v>
      </c>
      <c r="D128" s="652" t="s">
        <v>968</v>
      </c>
      <c r="E128" s="610"/>
      <c r="F128" s="505"/>
      <c r="G128" s="1127">
        <v>0.52631578947368418</v>
      </c>
      <c r="H128" s="608" t="s">
        <v>746</v>
      </c>
      <c r="I128" s="1361">
        <v>1</v>
      </c>
      <c r="J128" s="1327">
        <v>44348</v>
      </c>
      <c r="K128" s="1328">
        <v>44377</v>
      </c>
      <c r="L128" s="916"/>
      <c r="M128" s="727"/>
      <c r="N128" s="1131"/>
      <c r="O128" s="1130"/>
      <c r="P128" s="1131"/>
      <c r="Q128" s="1130">
        <v>100</v>
      </c>
      <c r="R128" s="727"/>
      <c r="S128" s="727"/>
      <c r="T128" s="727"/>
      <c r="U128" s="727"/>
      <c r="V128" s="727"/>
      <c r="W128" s="872"/>
      <c r="X128" s="888">
        <f t="shared" si="28"/>
        <v>100</v>
      </c>
      <c r="Y128" s="663"/>
      <c r="Z128" s="20"/>
      <c r="AA128" s="20"/>
      <c r="AB128" s="20"/>
      <c r="AC128" s="20"/>
      <c r="AD128" s="20"/>
      <c r="AE128" s="20"/>
      <c r="AF128" s="20"/>
      <c r="AG128" s="20"/>
      <c r="AH128" s="20"/>
      <c r="AI128" s="20"/>
      <c r="AJ128" s="33"/>
      <c r="AK128" s="34"/>
    </row>
    <row r="129" spans="1:37" s="35" customFormat="1" ht="79.5" customHeight="1" x14ac:dyDescent="0.2">
      <c r="A129" s="1253" t="s">
        <v>1673</v>
      </c>
      <c r="B129" s="1009" t="s">
        <v>1550</v>
      </c>
      <c r="C129" s="1008" t="s">
        <v>739</v>
      </c>
      <c r="D129" s="652" t="s">
        <v>968</v>
      </c>
      <c r="E129" s="610"/>
      <c r="F129" s="505"/>
      <c r="G129" s="1127">
        <v>0.52631578947368418</v>
      </c>
      <c r="H129" s="608" t="s">
        <v>746</v>
      </c>
      <c r="I129" s="1361">
        <v>1</v>
      </c>
      <c r="J129" s="1327">
        <v>44440</v>
      </c>
      <c r="K129" s="1328">
        <v>44469</v>
      </c>
      <c r="L129" s="916"/>
      <c r="M129" s="727"/>
      <c r="N129" s="727"/>
      <c r="O129" s="727"/>
      <c r="P129" s="727"/>
      <c r="Q129" s="1131"/>
      <c r="R129" s="1130"/>
      <c r="S129" s="1131"/>
      <c r="T129" s="1130">
        <v>100</v>
      </c>
      <c r="U129" s="727"/>
      <c r="V129" s="727"/>
      <c r="W129" s="872"/>
      <c r="X129" s="888">
        <f t="shared" si="28"/>
        <v>100</v>
      </c>
      <c r="Y129" s="663"/>
      <c r="Z129" s="20"/>
      <c r="AA129" s="20"/>
      <c r="AB129" s="20"/>
      <c r="AC129" s="20"/>
      <c r="AD129" s="20"/>
      <c r="AE129" s="20"/>
      <c r="AF129" s="20"/>
      <c r="AG129" s="20"/>
      <c r="AH129" s="20"/>
      <c r="AI129" s="20"/>
      <c r="AJ129" s="33"/>
      <c r="AK129" s="34"/>
    </row>
    <row r="130" spans="1:37" s="35" customFormat="1" ht="84.75" customHeight="1" x14ac:dyDescent="0.2">
      <c r="A130" s="1253" t="s">
        <v>1674</v>
      </c>
      <c r="B130" s="1009" t="s">
        <v>1970</v>
      </c>
      <c r="C130" s="1008" t="s">
        <v>1971</v>
      </c>
      <c r="D130" s="652" t="s">
        <v>968</v>
      </c>
      <c r="E130" s="610"/>
      <c r="F130" s="505"/>
      <c r="G130" s="1127">
        <v>0.52631578947368418</v>
      </c>
      <c r="H130" s="608" t="s">
        <v>746</v>
      </c>
      <c r="I130" s="1361">
        <v>2</v>
      </c>
      <c r="J130" s="1327">
        <v>44470</v>
      </c>
      <c r="K130" s="1328">
        <v>40512</v>
      </c>
      <c r="L130" s="916"/>
      <c r="M130" s="727"/>
      <c r="N130" s="727"/>
      <c r="O130" s="727"/>
      <c r="P130" s="727"/>
      <c r="Q130" s="727"/>
      <c r="R130" s="727"/>
      <c r="S130" s="727"/>
      <c r="T130" s="727"/>
      <c r="U130" s="1131">
        <v>50</v>
      </c>
      <c r="V130" s="1130">
        <v>50</v>
      </c>
      <c r="W130" s="872"/>
      <c r="X130" s="888">
        <f t="shared" si="28"/>
        <v>100</v>
      </c>
      <c r="Y130" s="663"/>
      <c r="Z130" s="20"/>
      <c r="AA130" s="20"/>
      <c r="AB130" s="20"/>
      <c r="AC130" s="20"/>
      <c r="AD130" s="20"/>
      <c r="AE130" s="20"/>
      <c r="AF130" s="20"/>
      <c r="AG130" s="20"/>
      <c r="AH130" s="20"/>
      <c r="AI130" s="20"/>
      <c r="AJ130" s="33"/>
      <c r="AK130" s="34"/>
    </row>
    <row r="131" spans="1:37" s="35" customFormat="1" ht="82.5" customHeight="1" x14ac:dyDescent="0.2">
      <c r="A131" s="1253" t="s">
        <v>1675</v>
      </c>
      <c r="B131" s="1008" t="s">
        <v>1375</v>
      </c>
      <c r="C131" s="1008" t="s">
        <v>740</v>
      </c>
      <c r="D131" s="652" t="s">
        <v>968</v>
      </c>
      <c r="E131" s="610"/>
      <c r="F131" s="505"/>
      <c r="G131" s="1127">
        <v>0.52631578947368418</v>
      </c>
      <c r="H131" s="608" t="s">
        <v>746</v>
      </c>
      <c r="I131" s="1360">
        <v>1</v>
      </c>
      <c r="J131" s="935">
        <v>44410</v>
      </c>
      <c r="K131" s="936">
        <v>44439</v>
      </c>
      <c r="L131" s="902"/>
      <c r="M131" s="707"/>
      <c r="N131" s="707"/>
      <c r="O131" s="707"/>
      <c r="P131" s="707"/>
      <c r="Q131" s="723"/>
      <c r="R131" s="724"/>
      <c r="S131" s="721">
        <v>100</v>
      </c>
      <c r="T131" s="722"/>
      <c r="U131" s="692"/>
      <c r="V131" s="692"/>
      <c r="W131" s="872"/>
      <c r="X131" s="888">
        <f t="shared" si="28"/>
        <v>100</v>
      </c>
      <c r="Y131" s="663"/>
      <c r="Z131" s="20"/>
      <c r="AA131" s="20"/>
      <c r="AB131" s="20"/>
      <c r="AC131" s="20"/>
      <c r="AD131" s="20"/>
      <c r="AE131" s="20"/>
      <c r="AF131" s="20"/>
      <c r="AG131" s="20"/>
      <c r="AH131" s="20"/>
      <c r="AI131" s="20"/>
      <c r="AJ131" s="33"/>
      <c r="AK131" s="34"/>
    </row>
    <row r="132" spans="1:37" s="35" customFormat="1" ht="60" customHeight="1" x14ac:dyDescent="0.2">
      <c r="A132" s="1253" t="s">
        <v>1676</v>
      </c>
      <c r="B132" s="1008" t="s">
        <v>1376</v>
      </c>
      <c r="C132" s="1008" t="s">
        <v>741</v>
      </c>
      <c r="D132" s="652" t="s">
        <v>968</v>
      </c>
      <c r="E132" s="610"/>
      <c r="F132" s="505"/>
      <c r="G132" s="1127">
        <v>0.52631578947368418</v>
      </c>
      <c r="H132" s="608" t="s">
        <v>746</v>
      </c>
      <c r="I132" s="1361">
        <v>2</v>
      </c>
      <c r="J132" s="1327">
        <v>44501</v>
      </c>
      <c r="K132" s="1326">
        <v>44561</v>
      </c>
      <c r="L132" s="913"/>
      <c r="M132" s="722"/>
      <c r="N132" s="722"/>
      <c r="O132" s="722"/>
      <c r="P132" s="722"/>
      <c r="Q132" s="722"/>
      <c r="R132" s="722"/>
      <c r="S132" s="722"/>
      <c r="T132" s="722"/>
      <c r="U132" s="722"/>
      <c r="V132" s="725">
        <v>50</v>
      </c>
      <c r="W132" s="871">
        <v>50</v>
      </c>
      <c r="X132" s="888">
        <f t="shared" si="28"/>
        <v>100</v>
      </c>
      <c r="Y132" s="663"/>
      <c r="Z132" s="20"/>
      <c r="AA132" s="20"/>
      <c r="AB132" s="20"/>
      <c r="AC132" s="20"/>
      <c r="AD132" s="20"/>
      <c r="AE132" s="20"/>
      <c r="AF132" s="20"/>
      <c r="AG132" s="20"/>
      <c r="AH132" s="20"/>
      <c r="AI132" s="20"/>
      <c r="AJ132" s="33"/>
      <c r="AK132" s="34"/>
    </row>
    <row r="133" spans="1:37" s="35" customFormat="1" ht="57" customHeight="1" x14ac:dyDescent="0.2">
      <c r="A133" s="1253" t="s">
        <v>1677</v>
      </c>
      <c r="B133" s="675" t="s">
        <v>742</v>
      </c>
      <c r="C133" s="675" t="s">
        <v>743</v>
      </c>
      <c r="D133" s="652" t="s">
        <v>968</v>
      </c>
      <c r="E133" s="610"/>
      <c r="F133" s="505"/>
      <c r="G133" s="1127">
        <v>0.52631578947368418</v>
      </c>
      <c r="H133" s="608" t="s">
        <v>746</v>
      </c>
      <c r="I133" s="1361">
        <v>1</v>
      </c>
      <c r="J133" s="1327">
        <v>44200</v>
      </c>
      <c r="K133" s="1326">
        <v>44227</v>
      </c>
      <c r="L133" s="915">
        <v>100</v>
      </c>
      <c r="M133" s="722"/>
      <c r="N133" s="722"/>
      <c r="O133" s="722"/>
      <c r="P133" s="722"/>
      <c r="Q133" s="722"/>
      <c r="R133" s="722"/>
      <c r="S133" s="722"/>
      <c r="T133" s="722"/>
      <c r="U133" s="722"/>
      <c r="V133" s="726"/>
      <c r="W133" s="873"/>
      <c r="X133" s="888">
        <f t="shared" si="28"/>
        <v>100</v>
      </c>
      <c r="Y133" s="663"/>
      <c r="Z133" s="20"/>
      <c r="AA133" s="20"/>
      <c r="AB133" s="20"/>
      <c r="AC133" s="20"/>
      <c r="AD133" s="20"/>
      <c r="AE133" s="20"/>
      <c r="AF133" s="20"/>
      <c r="AG133" s="20"/>
      <c r="AH133" s="20"/>
      <c r="AI133" s="20"/>
      <c r="AJ133" s="33"/>
      <c r="AK133" s="34"/>
    </row>
    <row r="134" spans="1:37" s="35" customFormat="1" ht="57.75" customHeight="1" x14ac:dyDescent="0.2">
      <c r="A134" s="1253" t="s">
        <v>1678</v>
      </c>
      <c r="B134" s="675" t="s">
        <v>744</v>
      </c>
      <c r="C134" s="675" t="s">
        <v>745</v>
      </c>
      <c r="D134" s="652" t="s">
        <v>968</v>
      </c>
      <c r="E134" s="610"/>
      <c r="F134" s="505"/>
      <c r="G134" s="1127">
        <v>0.52631578947368418</v>
      </c>
      <c r="H134" s="608" t="s">
        <v>746</v>
      </c>
      <c r="I134" s="1361">
        <v>12</v>
      </c>
      <c r="J134" s="1327">
        <v>44200</v>
      </c>
      <c r="K134" s="1326">
        <v>44561</v>
      </c>
      <c r="L134" s="916">
        <f t="shared" ref="L134:W134" si="33">1*8.33333333333333</f>
        <v>8.3333333333333304</v>
      </c>
      <c r="M134" s="727">
        <f t="shared" si="33"/>
        <v>8.3333333333333304</v>
      </c>
      <c r="N134" s="727">
        <f t="shared" si="33"/>
        <v>8.3333333333333304</v>
      </c>
      <c r="O134" s="727">
        <f t="shared" si="33"/>
        <v>8.3333333333333304</v>
      </c>
      <c r="P134" s="727">
        <f t="shared" si="33"/>
        <v>8.3333333333333304</v>
      </c>
      <c r="Q134" s="727">
        <f t="shared" si="33"/>
        <v>8.3333333333333304</v>
      </c>
      <c r="R134" s="727">
        <f t="shared" si="33"/>
        <v>8.3333333333333304</v>
      </c>
      <c r="S134" s="727">
        <f t="shared" si="33"/>
        <v>8.3333333333333304</v>
      </c>
      <c r="T134" s="727">
        <f t="shared" si="33"/>
        <v>8.3333333333333304</v>
      </c>
      <c r="U134" s="727">
        <f t="shared" si="33"/>
        <v>8.3333333333333304</v>
      </c>
      <c r="V134" s="727">
        <f t="shared" si="33"/>
        <v>8.3333333333333304</v>
      </c>
      <c r="W134" s="874">
        <f t="shared" si="33"/>
        <v>8.3333333333333304</v>
      </c>
      <c r="X134" s="888">
        <f t="shared" si="28"/>
        <v>99.999999999999957</v>
      </c>
      <c r="Y134" s="663"/>
      <c r="Z134" s="20"/>
      <c r="AA134" s="20"/>
      <c r="AB134" s="20"/>
      <c r="AC134" s="20"/>
      <c r="AD134" s="20"/>
      <c r="AE134" s="20"/>
      <c r="AF134" s="20"/>
      <c r="AG134" s="20"/>
      <c r="AH134" s="20"/>
      <c r="AI134" s="20"/>
      <c r="AJ134" s="33"/>
      <c r="AK134" s="34"/>
    </row>
    <row r="135" spans="1:37" s="35" customFormat="1" ht="54.75" customHeight="1" x14ac:dyDescent="0.2">
      <c r="A135" s="1253" t="s">
        <v>1679</v>
      </c>
      <c r="B135" s="679" t="s">
        <v>747</v>
      </c>
      <c r="C135" s="640" t="s">
        <v>1972</v>
      </c>
      <c r="D135" s="734" t="s">
        <v>748</v>
      </c>
      <c r="E135" s="610"/>
      <c r="F135" s="505"/>
      <c r="G135" s="1127">
        <v>0.52631578947368418</v>
      </c>
      <c r="H135" s="690" t="s">
        <v>950</v>
      </c>
      <c r="I135" s="1364">
        <v>2</v>
      </c>
      <c r="J135" s="1327">
        <v>44319</v>
      </c>
      <c r="K135" s="1326">
        <v>44469</v>
      </c>
      <c r="L135" s="917"/>
      <c r="M135" s="728"/>
      <c r="N135" s="728"/>
      <c r="O135" s="728"/>
      <c r="P135" s="728">
        <v>50</v>
      </c>
      <c r="Q135" s="728"/>
      <c r="R135" s="728"/>
      <c r="S135" s="728"/>
      <c r="T135" s="728">
        <v>50</v>
      </c>
      <c r="U135" s="728"/>
      <c r="V135" s="729"/>
      <c r="W135" s="875"/>
      <c r="X135" s="888">
        <f t="shared" si="28"/>
        <v>100</v>
      </c>
      <c r="Y135" s="663"/>
      <c r="Z135" s="20"/>
      <c r="AA135" s="20"/>
      <c r="AB135" s="20"/>
      <c r="AC135" s="20"/>
      <c r="AD135" s="20"/>
      <c r="AE135" s="20"/>
      <c r="AF135" s="20"/>
      <c r="AG135" s="20"/>
      <c r="AH135" s="20"/>
      <c r="AI135" s="20"/>
      <c r="AJ135" s="33"/>
      <c r="AK135" s="34"/>
    </row>
    <row r="136" spans="1:37" s="35" customFormat="1" ht="58.5" customHeight="1" x14ac:dyDescent="0.2">
      <c r="A136" s="1253" t="s">
        <v>1680</v>
      </c>
      <c r="B136" s="638" t="s">
        <v>948</v>
      </c>
      <c r="C136" s="638" t="s">
        <v>947</v>
      </c>
      <c r="D136" s="734" t="s">
        <v>748</v>
      </c>
      <c r="E136" s="610"/>
      <c r="F136" s="505"/>
      <c r="G136" s="1127">
        <v>0.52631578947368418</v>
      </c>
      <c r="H136" s="690" t="s">
        <v>949</v>
      </c>
      <c r="I136" s="1375">
        <v>1</v>
      </c>
      <c r="J136" s="1327">
        <v>44470</v>
      </c>
      <c r="K136" s="1326">
        <v>44498</v>
      </c>
      <c r="L136" s="910"/>
      <c r="M136" s="717"/>
      <c r="N136" s="717"/>
      <c r="O136" s="717"/>
      <c r="P136" s="717"/>
      <c r="Q136" s="717"/>
      <c r="R136" s="717"/>
      <c r="S136" s="717"/>
      <c r="T136" s="717"/>
      <c r="U136" s="717">
        <v>100</v>
      </c>
      <c r="V136" s="717"/>
      <c r="W136" s="868"/>
      <c r="X136" s="888">
        <f t="shared" si="28"/>
        <v>100</v>
      </c>
      <c r="Y136" s="663"/>
      <c r="Z136" s="20"/>
      <c r="AA136" s="20"/>
      <c r="AB136" s="20"/>
      <c r="AC136" s="20"/>
      <c r="AD136" s="20"/>
      <c r="AE136" s="20"/>
      <c r="AF136" s="20"/>
      <c r="AG136" s="20"/>
      <c r="AH136" s="20"/>
      <c r="AI136" s="20"/>
      <c r="AJ136" s="33"/>
      <c r="AK136" s="34"/>
    </row>
    <row r="137" spans="1:37" s="35" customFormat="1" ht="62.25" customHeight="1" x14ac:dyDescent="0.2">
      <c r="A137" s="1253" t="s">
        <v>1681</v>
      </c>
      <c r="B137" s="640" t="s">
        <v>951</v>
      </c>
      <c r="C137" s="640" t="s">
        <v>1973</v>
      </c>
      <c r="D137" s="734" t="s">
        <v>748</v>
      </c>
      <c r="E137" s="610"/>
      <c r="F137" s="505"/>
      <c r="G137" s="1127">
        <v>0.52631578947368418</v>
      </c>
      <c r="H137" s="662" t="s">
        <v>751</v>
      </c>
      <c r="I137" s="1360">
        <v>2</v>
      </c>
      <c r="J137" s="1327">
        <v>44256</v>
      </c>
      <c r="K137" s="1326">
        <v>44316</v>
      </c>
      <c r="L137" s="910"/>
      <c r="M137" s="717"/>
      <c r="N137" s="717">
        <v>50</v>
      </c>
      <c r="O137" s="717">
        <v>50</v>
      </c>
      <c r="P137" s="717"/>
      <c r="Q137" s="717"/>
      <c r="R137" s="717"/>
      <c r="S137" s="717"/>
      <c r="T137" s="717"/>
      <c r="U137" s="717"/>
      <c r="V137" s="717"/>
      <c r="W137" s="868"/>
      <c r="X137" s="888">
        <f t="shared" si="28"/>
        <v>100</v>
      </c>
      <c r="Y137" s="663"/>
      <c r="Z137" s="20"/>
      <c r="AA137" s="20"/>
      <c r="AB137" s="20"/>
      <c r="AC137" s="20"/>
      <c r="AD137" s="20"/>
      <c r="AE137" s="20"/>
      <c r="AF137" s="20"/>
      <c r="AG137" s="20"/>
      <c r="AH137" s="20"/>
      <c r="AI137" s="20"/>
      <c r="AJ137" s="33"/>
      <c r="AK137" s="34"/>
    </row>
    <row r="138" spans="1:37" s="35" customFormat="1" ht="69" customHeight="1" x14ac:dyDescent="0.2">
      <c r="A138" s="1253" t="s">
        <v>1682</v>
      </c>
      <c r="B138" s="679" t="s">
        <v>749</v>
      </c>
      <c r="C138" s="640" t="s">
        <v>952</v>
      </c>
      <c r="D138" s="734" t="s">
        <v>748</v>
      </c>
      <c r="E138" s="610"/>
      <c r="F138" s="505"/>
      <c r="G138" s="1127">
        <v>0.52631578947368418</v>
      </c>
      <c r="H138" s="662" t="s">
        <v>953</v>
      </c>
      <c r="I138" s="1360">
        <v>50</v>
      </c>
      <c r="J138" s="1327">
        <v>44256</v>
      </c>
      <c r="K138" s="1326">
        <v>44561</v>
      </c>
      <c r="L138" s="910"/>
      <c r="M138" s="717"/>
      <c r="N138" s="717">
        <v>10</v>
      </c>
      <c r="O138" s="717">
        <v>10</v>
      </c>
      <c r="P138" s="717">
        <v>10</v>
      </c>
      <c r="Q138" s="717">
        <v>10</v>
      </c>
      <c r="R138" s="717">
        <v>10</v>
      </c>
      <c r="S138" s="717">
        <v>10</v>
      </c>
      <c r="T138" s="717">
        <v>10</v>
      </c>
      <c r="U138" s="717">
        <v>10</v>
      </c>
      <c r="V138" s="717">
        <v>10</v>
      </c>
      <c r="W138" s="868">
        <v>10</v>
      </c>
      <c r="X138" s="888">
        <f t="shared" si="28"/>
        <v>100</v>
      </c>
      <c r="Y138" s="663"/>
      <c r="Z138" s="20"/>
      <c r="AA138" s="20"/>
      <c r="AB138" s="20"/>
      <c r="AC138" s="20"/>
      <c r="AD138" s="20"/>
      <c r="AE138" s="20"/>
      <c r="AF138" s="20"/>
      <c r="AG138" s="20"/>
      <c r="AH138" s="20"/>
      <c r="AI138" s="20"/>
      <c r="AJ138" s="33"/>
      <c r="AK138" s="34"/>
    </row>
    <row r="139" spans="1:37" s="35" customFormat="1" ht="64.5" customHeight="1" x14ac:dyDescent="0.2">
      <c r="A139" s="1253" t="s">
        <v>1683</v>
      </c>
      <c r="B139" s="640" t="s">
        <v>954</v>
      </c>
      <c r="C139" s="640" t="s">
        <v>750</v>
      </c>
      <c r="D139" s="734" t="s">
        <v>748</v>
      </c>
      <c r="E139" s="610"/>
      <c r="F139" s="505"/>
      <c r="G139" s="1127">
        <v>0.52631578947368418</v>
      </c>
      <c r="H139" s="662" t="s">
        <v>752</v>
      </c>
      <c r="I139" s="1353">
        <v>1</v>
      </c>
      <c r="J139" s="1327">
        <v>44319</v>
      </c>
      <c r="K139" s="1326">
        <v>44347</v>
      </c>
      <c r="L139" s="910"/>
      <c r="M139" s="717"/>
      <c r="N139" s="705"/>
      <c r="O139" s="705"/>
      <c r="P139" s="717">
        <v>100</v>
      </c>
      <c r="Q139" s="717"/>
      <c r="R139" s="717"/>
      <c r="S139" s="717"/>
      <c r="T139" s="717"/>
      <c r="U139" s="717"/>
      <c r="V139" s="717"/>
      <c r="W139" s="868"/>
      <c r="X139" s="888">
        <f t="shared" si="28"/>
        <v>100</v>
      </c>
      <c r="Y139" s="663"/>
      <c r="Z139" s="20"/>
      <c r="AA139" s="20"/>
      <c r="AB139" s="20"/>
      <c r="AC139" s="20"/>
      <c r="AD139" s="20"/>
      <c r="AE139" s="20"/>
      <c r="AF139" s="20"/>
      <c r="AG139" s="20"/>
      <c r="AH139" s="20"/>
      <c r="AI139" s="20"/>
      <c r="AJ139" s="33"/>
      <c r="AK139" s="34"/>
    </row>
    <row r="140" spans="1:37" s="35" customFormat="1" ht="61.5" customHeight="1" x14ac:dyDescent="0.2">
      <c r="A140" s="1253" t="s">
        <v>1684</v>
      </c>
      <c r="B140" s="640" t="s">
        <v>955</v>
      </c>
      <c r="C140" s="640" t="s">
        <v>1974</v>
      </c>
      <c r="D140" s="734" t="s">
        <v>748</v>
      </c>
      <c r="E140" s="610"/>
      <c r="F140" s="505"/>
      <c r="G140" s="1127">
        <v>0.52631578947368418</v>
      </c>
      <c r="H140" s="662" t="s">
        <v>956</v>
      </c>
      <c r="I140" s="1353">
        <v>4</v>
      </c>
      <c r="J140" s="1327">
        <v>44287</v>
      </c>
      <c r="K140" s="1326">
        <v>44498</v>
      </c>
      <c r="L140" s="910"/>
      <c r="M140" s="717"/>
      <c r="N140" s="705"/>
      <c r="O140" s="705">
        <v>25</v>
      </c>
      <c r="P140" s="717"/>
      <c r="Q140" s="717"/>
      <c r="R140" s="717">
        <v>25</v>
      </c>
      <c r="S140" s="717"/>
      <c r="T140" s="717"/>
      <c r="U140" s="717">
        <v>50</v>
      </c>
      <c r="V140" s="717"/>
      <c r="W140" s="868"/>
      <c r="X140" s="888">
        <f t="shared" si="28"/>
        <v>100</v>
      </c>
      <c r="Y140" s="663"/>
      <c r="Z140" s="20"/>
      <c r="AA140" s="20"/>
      <c r="AB140" s="20"/>
      <c r="AC140" s="20"/>
      <c r="AD140" s="20"/>
      <c r="AE140" s="20"/>
      <c r="AF140" s="20"/>
      <c r="AG140" s="20"/>
      <c r="AH140" s="20"/>
      <c r="AI140" s="20"/>
      <c r="AJ140" s="33"/>
      <c r="AK140" s="34"/>
    </row>
    <row r="141" spans="1:37" s="35" customFormat="1" ht="70.5" customHeight="1" x14ac:dyDescent="0.2">
      <c r="A141" s="1253" t="s">
        <v>1685</v>
      </c>
      <c r="B141" s="640" t="s">
        <v>958</v>
      </c>
      <c r="C141" s="640" t="s">
        <v>957</v>
      </c>
      <c r="D141" s="734" t="s">
        <v>748</v>
      </c>
      <c r="E141" s="610"/>
      <c r="F141" s="505"/>
      <c r="G141" s="1127">
        <v>0.52631578947368418</v>
      </c>
      <c r="H141" s="662" t="s">
        <v>753</v>
      </c>
      <c r="I141" s="1353">
        <v>13</v>
      </c>
      <c r="J141" s="1327">
        <v>44287</v>
      </c>
      <c r="K141" s="1326">
        <v>44530</v>
      </c>
      <c r="L141" s="910"/>
      <c r="M141" s="717"/>
      <c r="N141" s="705"/>
      <c r="O141" s="705">
        <f>3*100/13</f>
        <v>23.076923076923077</v>
      </c>
      <c r="P141" s="717"/>
      <c r="Q141" s="717"/>
      <c r="R141" s="717"/>
      <c r="S141" s="717">
        <f>5*100/13</f>
        <v>38.46153846153846</v>
      </c>
      <c r="T141" s="717"/>
      <c r="U141" s="717"/>
      <c r="V141" s="717">
        <f>5*100/13</f>
        <v>38.46153846153846</v>
      </c>
      <c r="W141" s="868"/>
      <c r="X141" s="888">
        <f t="shared" si="28"/>
        <v>100</v>
      </c>
      <c r="Y141" s="663"/>
      <c r="Z141" s="20"/>
      <c r="AA141" s="20"/>
      <c r="AB141" s="20"/>
      <c r="AC141" s="20"/>
      <c r="AD141" s="20"/>
      <c r="AE141" s="20"/>
      <c r="AF141" s="20"/>
      <c r="AG141" s="20"/>
      <c r="AH141" s="20"/>
      <c r="AI141" s="20"/>
      <c r="AJ141" s="33"/>
      <c r="AK141" s="34"/>
    </row>
    <row r="142" spans="1:37" s="35" customFormat="1" ht="130.5" customHeight="1" x14ac:dyDescent="0.2">
      <c r="A142" s="1253" t="s">
        <v>1686</v>
      </c>
      <c r="B142" s="639" t="s">
        <v>754</v>
      </c>
      <c r="C142" s="638" t="s">
        <v>755</v>
      </c>
      <c r="D142" s="653" t="s">
        <v>756</v>
      </c>
      <c r="E142" s="610"/>
      <c r="F142" s="764"/>
      <c r="G142" s="1127">
        <v>0.52631578947368418</v>
      </c>
      <c r="H142" s="691" t="s">
        <v>757</v>
      </c>
      <c r="I142" s="1364">
        <v>630</v>
      </c>
      <c r="J142" s="935">
        <v>44200</v>
      </c>
      <c r="K142" s="936">
        <v>44561</v>
      </c>
      <c r="L142" s="918">
        <v>8.3333333333333339</v>
      </c>
      <c r="M142" s="730">
        <v>8.3333333333333339</v>
      </c>
      <c r="N142" s="730">
        <v>8.3333333333333339</v>
      </c>
      <c r="O142" s="730">
        <v>8.3333333333333339</v>
      </c>
      <c r="P142" s="730">
        <v>8.3333333333333339</v>
      </c>
      <c r="Q142" s="730">
        <v>8.3333333333333339</v>
      </c>
      <c r="R142" s="730">
        <v>8.3333333333333339</v>
      </c>
      <c r="S142" s="730">
        <v>8.3333333333333339</v>
      </c>
      <c r="T142" s="730">
        <v>8.3333333333333339</v>
      </c>
      <c r="U142" s="730">
        <v>8.3333333333333339</v>
      </c>
      <c r="V142" s="730">
        <v>8.3333333333333339</v>
      </c>
      <c r="W142" s="876">
        <v>8.3333333333333339</v>
      </c>
      <c r="X142" s="888">
        <f t="shared" si="28"/>
        <v>99.999999999999986</v>
      </c>
      <c r="Y142" s="663"/>
      <c r="Z142" s="20"/>
      <c r="AA142" s="20"/>
      <c r="AB142" s="20"/>
      <c r="AC142" s="20"/>
      <c r="AD142" s="20"/>
      <c r="AE142" s="20"/>
      <c r="AF142" s="20"/>
      <c r="AG142" s="20"/>
      <c r="AH142" s="20"/>
      <c r="AI142" s="20"/>
      <c r="AJ142" s="33"/>
      <c r="AK142" s="34"/>
    </row>
    <row r="143" spans="1:37" s="35" customFormat="1" ht="72" customHeight="1" x14ac:dyDescent="0.2">
      <c r="A143" s="1253" t="s">
        <v>1687</v>
      </c>
      <c r="B143" s="638" t="s">
        <v>758</v>
      </c>
      <c r="C143" s="640" t="s">
        <v>759</v>
      </c>
      <c r="D143" s="653" t="s">
        <v>756</v>
      </c>
      <c r="E143" s="610"/>
      <c r="F143" s="764"/>
      <c r="G143" s="1127">
        <v>0.52631578947368418</v>
      </c>
      <c r="H143" s="662" t="s">
        <v>760</v>
      </c>
      <c r="I143" s="1353">
        <v>90</v>
      </c>
      <c r="J143" s="935">
        <v>44200</v>
      </c>
      <c r="K143" s="936">
        <v>44561</v>
      </c>
      <c r="L143" s="918">
        <v>8.3333333333333339</v>
      </c>
      <c r="M143" s="730">
        <v>8.3333333333333339</v>
      </c>
      <c r="N143" s="730">
        <v>8.3333333333333339</v>
      </c>
      <c r="O143" s="730">
        <v>8.3333333333333339</v>
      </c>
      <c r="P143" s="730">
        <v>8.3333333333333339</v>
      </c>
      <c r="Q143" s="730">
        <v>8.3333333333333339</v>
      </c>
      <c r="R143" s="730">
        <v>8.3333333333333339</v>
      </c>
      <c r="S143" s="730">
        <v>8.3333333333333339</v>
      </c>
      <c r="T143" s="730">
        <v>8.3333333333333339</v>
      </c>
      <c r="U143" s="730">
        <v>8.3333333333333339</v>
      </c>
      <c r="V143" s="730">
        <v>8.3333333333333339</v>
      </c>
      <c r="W143" s="876">
        <v>8.3333333333333339</v>
      </c>
      <c r="X143" s="888">
        <f t="shared" si="28"/>
        <v>99.999999999999986</v>
      </c>
      <c r="Y143" s="663"/>
      <c r="Z143" s="20"/>
      <c r="AA143" s="20"/>
      <c r="AB143" s="20"/>
      <c r="AC143" s="20"/>
      <c r="AD143" s="20"/>
      <c r="AE143" s="20"/>
      <c r="AF143" s="20"/>
      <c r="AG143" s="20"/>
      <c r="AH143" s="20"/>
      <c r="AI143" s="20"/>
      <c r="AJ143" s="33"/>
      <c r="AK143" s="34"/>
    </row>
    <row r="144" spans="1:37" s="1102" customFormat="1" ht="61.5" customHeight="1" x14ac:dyDescent="0.2">
      <c r="A144" s="1253" t="s">
        <v>1688</v>
      </c>
      <c r="B144" s="1093" t="s">
        <v>761</v>
      </c>
      <c r="C144" s="1094" t="s">
        <v>762</v>
      </c>
      <c r="D144" s="748" t="s">
        <v>763</v>
      </c>
      <c r="E144" s="747"/>
      <c r="F144" s="763"/>
      <c r="G144" s="1127">
        <v>0.52631578947368418</v>
      </c>
      <c r="H144" s="895" t="s">
        <v>764</v>
      </c>
      <c r="I144" s="1376">
        <v>360</v>
      </c>
      <c r="J144" s="783">
        <v>44200</v>
      </c>
      <c r="K144" s="934">
        <v>44561</v>
      </c>
      <c r="L144" s="1095">
        <v>8.3333333333333339</v>
      </c>
      <c r="M144" s="1096">
        <v>8.3333333333333339</v>
      </c>
      <c r="N144" s="1096">
        <v>8.3333333333333339</v>
      </c>
      <c r="O144" s="1096">
        <v>8.3333333333333339</v>
      </c>
      <c r="P144" s="1096">
        <v>8.3333333333333339</v>
      </c>
      <c r="Q144" s="1096">
        <v>8.3333333333333339</v>
      </c>
      <c r="R144" s="1096">
        <v>8.3333333333333339</v>
      </c>
      <c r="S144" s="1096">
        <v>8.3333333333333339</v>
      </c>
      <c r="T144" s="1096">
        <v>8.3333333333333339</v>
      </c>
      <c r="U144" s="1096">
        <v>8.3333333333333339</v>
      </c>
      <c r="V144" s="1096">
        <v>8.3333333333333339</v>
      </c>
      <c r="W144" s="1097">
        <v>8.3333333333333339</v>
      </c>
      <c r="X144" s="888">
        <f t="shared" si="28"/>
        <v>99.999999999999986</v>
      </c>
      <c r="Y144" s="1098"/>
      <c r="Z144" s="1099"/>
      <c r="AA144" s="1099"/>
      <c r="AB144" s="1099"/>
      <c r="AC144" s="1099"/>
      <c r="AD144" s="1099"/>
      <c r="AE144" s="1099"/>
      <c r="AF144" s="1099"/>
      <c r="AG144" s="1099"/>
      <c r="AH144" s="1099"/>
      <c r="AI144" s="1099"/>
      <c r="AJ144" s="1100"/>
      <c r="AK144" s="1101"/>
    </row>
    <row r="145" spans="1:37" s="35" customFormat="1" ht="120.75" customHeight="1" x14ac:dyDescent="0.2">
      <c r="A145" s="1253" t="s">
        <v>1689</v>
      </c>
      <c r="B145" s="641" t="s">
        <v>765</v>
      </c>
      <c r="C145" s="639" t="s">
        <v>766</v>
      </c>
      <c r="D145" s="653" t="s">
        <v>756</v>
      </c>
      <c r="E145" s="610"/>
      <c r="F145" s="764"/>
      <c r="G145" s="1127">
        <v>0.52631578947368418</v>
      </c>
      <c r="H145" s="662" t="s">
        <v>767</v>
      </c>
      <c r="I145" s="1377">
        <v>150</v>
      </c>
      <c r="J145" s="935">
        <v>44200</v>
      </c>
      <c r="K145" s="936">
        <v>44561</v>
      </c>
      <c r="L145" s="918">
        <f>12*0.666666666666667</f>
        <v>8.0000000000000036</v>
      </c>
      <c r="M145" s="918">
        <f t="shared" ref="M145:Q145" si="34">12*0.666666666666667</f>
        <v>8.0000000000000036</v>
      </c>
      <c r="N145" s="918">
        <f t="shared" si="34"/>
        <v>8.0000000000000036</v>
      </c>
      <c r="O145" s="918">
        <f t="shared" si="34"/>
        <v>8.0000000000000036</v>
      </c>
      <c r="P145" s="918">
        <f t="shared" si="34"/>
        <v>8.0000000000000036</v>
      </c>
      <c r="Q145" s="918">
        <f t="shared" si="34"/>
        <v>8.0000000000000036</v>
      </c>
      <c r="R145" s="918">
        <f>13*0.666666666666667</f>
        <v>8.6666666666666714</v>
      </c>
      <c r="S145" s="918">
        <f t="shared" ref="S145:W145" si="35">13*0.666666666666667</f>
        <v>8.6666666666666714</v>
      </c>
      <c r="T145" s="918">
        <f t="shared" si="35"/>
        <v>8.6666666666666714</v>
      </c>
      <c r="U145" s="918">
        <f t="shared" si="35"/>
        <v>8.6666666666666714</v>
      </c>
      <c r="V145" s="918">
        <f t="shared" si="35"/>
        <v>8.6666666666666714</v>
      </c>
      <c r="W145" s="918">
        <f t="shared" si="35"/>
        <v>8.6666666666666714</v>
      </c>
      <c r="X145" s="888">
        <f t="shared" si="28"/>
        <v>100.00000000000004</v>
      </c>
      <c r="Y145" s="663"/>
      <c r="Z145" s="20"/>
      <c r="AA145" s="20"/>
      <c r="AB145" s="20"/>
      <c r="AC145" s="20"/>
      <c r="AD145" s="20"/>
      <c r="AE145" s="20"/>
      <c r="AF145" s="20"/>
      <c r="AG145" s="20"/>
      <c r="AH145" s="20"/>
      <c r="AI145" s="20"/>
      <c r="AJ145" s="33"/>
      <c r="AK145" s="34"/>
    </row>
    <row r="146" spans="1:37" s="35" customFormat="1" ht="68.25" customHeight="1" x14ac:dyDescent="0.2">
      <c r="A146" s="1253" t="s">
        <v>1690</v>
      </c>
      <c r="B146" s="642" t="s">
        <v>768</v>
      </c>
      <c r="C146" s="639" t="s">
        <v>769</v>
      </c>
      <c r="D146" s="653" t="s">
        <v>756</v>
      </c>
      <c r="E146" s="610"/>
      <c r="F146" s="764"/>
      <c r="G146" s="1127">
        <v>0.52631578947368418</v>
      </c>
      <c r="H146" s="662" t="s">
        <v>770</v>
      </c>
      <c r="I146" s="1377">
        <v>72</v>
      </c>
      <c r="J146" s="935">
        <v>44200</v>
      </c>
      <c r="K146" s="936">
        <v>44561</v>
      </c>
      <c r="L146" s="918">
        <v>8.3333333333333339</v>
      </c>
      <c r="M146" s="730">
        <v>8.3333333333333339</v>
      </c>
      <c r="N146" s="730">
        <v>8.3333333333333339</v>
      </c>
      <c r="O146" s="730">
        <v>8.3333333333333339</v>
      </c>
      <c r="P146" s="730">
        <v>8.3333333333333339</v>
      </c>
      <c r="Q146" s="730">
        <v>8.3333333333333339</v>
      </c>
      <c r="R146" s="730">
        <v>8.3333333333333339</v>
      </c>
      <c r="S146" s="730">
        <v>8.3333333333333339</v>
      </c>
      <c r="T146" s="730">
        <v>8.3333333333333339</v>
      </c>
      <c r="U146" s="730">
        <v>8.3333333333333339</v>
      </c>
      <c r="V146" s="730">
        <v>8.3333333333333339</v>
      </c>
      <c r="W146" s="876">
        <v>8.3333333333333339</v>
      </c>
      <c r="X146" s="888">
        <f t="shared" si="28"/>
        <v>99.999999999999986</v>
      </c>
      <c r="Y146" s="663"/>
      <c r="Z146" s="20"/>
      <c r="AA146" s="20"/>
      <c r="AB146" s="20"/>
      <c r="AC146" s="20"/>
      <c r="AD146" s="20"/>
      <c r="AE146" s="20"/>
      <c r="AF146" s="20"/>
      <c r="AG146" s="20"/>
      <c r="AH146" s="20"/>
      <c r="AI146" s="20"/>
      <c r="AJ146" s="33"/>
      <c r="AK146" s="34"/>
    </row>
    <row r="147" spans="1:37" s="35" customFormat="1" ht="92.25" customHeight="1" x14ac:dyDescent="0.2">
      <c r="A147" s="1253" t="s">
        <v>1691</v>
      </c>
      <c r="B147" s="640" t="s">
        <v>771</v>
      </c>
      <c r="C147" s="639" t="s">
        <v>772</v>
      </c>
      <c r="D147" s="653" t="s">
        <v>756</v>
      </c>
      <c r="E147" s="610"/>
      <c r="F147" s="764"/>
      <c r="G147" s="1127">
        <v>0.52631578947368418</v>
      </c>
      <c r="H147" s="662" t="s">
        <v>773</v>
      </c>
      <c r="I147" s="1377">
        <f>48-6</f>
        <v>42</v>
      </c>
      <c r="J147" s="935">
        <v>44200</v>
      </c>
      <c r="K147" s="936">
        <v>44561</v>
      </c>
      <c r="L147" s="918">
        <v>8.3333333333333339</v>
      </c>
      <c r="M147" s="730">
        <v>8.3333333333333339</v>
      </c>
      <c r="N147" s="730">
        <v>8.3333333333333339</v>
      </c>
      <c r="O147" s="730">
        <v>8.3333333333333339</v>
      </c>
      <c r="P147" s="730">
        <v>8.3333333333333339</v>
      </c>
      <c r="Q147" s="730">
        <v>8.3333333333333339</v>
      </c>
      <c r="R147" s="730">
        <v>8.3333333333333339</v>
      </c>
      <c r="S147" s="730">
        <v>8.3333333333333339</v>
      </c>
      <c r="T147" s="730">
        <v>8.3333333333333339</v>
      </c>
      <c r="U147" s="730">
        <v>8.3333333333333339</v>
      </c>
      <c r="V147" s="730">
        <v>8.3333333333333339</v>
      </c>
      <c r="W147" s="876">
        <v>8.3333333333333339</v>
      </c>
      <c r="X147" s="888">
        <f t="shared" si="28"/>
        <v>99.999999999999986</v>
      </c>
      <c r="Y147" s="663"/>
      <c r="Z147" s="20"/>
      <c r="AA147" s="20"/>
      <c r="AB147" s="20"/>
      <c r="AC147" s="20"/>
      <c r="AD147" s="20"/>
      <c r="AE147" s="20"/>
      <c r="AF147" s="20"/>
      <c r="AG147" s="20"/>
      <c r="AH147" s="20"/>
      <c r="AI147" s="20"/>
      <c r="AJ147" s="33"/>
      <c r="AK147" s="34"/>
    </row>
    <row r="148" spans="1:37" s="35" customFormat="1" ht="82.5" customHeight="1" x14ac:dyDescent="0.2">
      <c r="A148" s="1253" t="s">
        <v>1692</v>
      </c>
      <c r="B148" s="637" t="s">
        <v>774</v>
      </c>
      <c r="C148" s="638" t="s">
        <v>775</v>
      </c>
      <c r="D148" s="653" t="s">
        <v>776</v>
      </c>
      <c r="E148" s="610"/>
      <c r="F148" s="764"/>
      <c r="G148" s="1127">
        <v>0.52631578947368418</v>
      </c>
      <c r="H148" s="662" t="s">
        <v>777</v>
      </c>
      <c r="I148" s="1377">
        <v>1</v>
      </c>
      <c r="J148" s="935">
        <v>44200</v>
      </c>
      <c r="K148" s="936">
        <v>44222</v>
      </c>
      <c r="L148" s="918">
        <v>100</v>
      </c>
      <c r="M148" s="730"/>
      <c r="N148" s="730"/>
      <c r="O148" s="730"/>
      <c r="P148" s="730"/>
      <c r="Q148" s="730"/>
      <c r="R148" s="730"/>
      <c r="S148" s="730"/>
      <c r="T148" s="730"/>
      <c r="U148" s="730"/>
      <c r="V148" s="730"/>
      <c r="W148" s="876"/>
      <c r="X148" s="888">
        <f t="shared" si="28"/>
        <v>100</v>
      </c>
      <c r="Y148" s="663"/>
      <c r="Z148" s="20"/>
      <c r="AA148" s="20"/>
      <c r="AB148" s="20"/>
      <c r="AC148" s="20"/>
      <c r="AD148" s="20"/>
      <c r="AE148" s="20"/>
      <c r="AF148" s="20"/>
      <c r="AG148" s="20"/>
      <c r="AH148" s="20"/>
      <c r="AI148" s="20"/>
      <c r="AJ148" s="33"/>
      <c r="AK148" s="34"/>
    </row>
    <row r="149" spans="1:37" s="35" customFormat="1" ht="61.5" customHeight="1" x14ac:dyDescent="0.2">
      <c r="A149" s="1253" t="s">
        <v>1693</v>
      </c>
      <c r="B149" s="637" t="s">
        <v>1342</v>
      </c>
      <c r="C149" s="637" t="s">
        <v>1975</v>
      </c>
      <c r="D149" s="648" t="s">
        <v>1859</v>
      </c>
      <c r="E149" s="610"/>
      <c r="F149" s="764"/>
      <c r="G149" s="1127">
        <v>0.52631578947368418</v>
      </c>
      <c r="H149" s="660" t="s">
        <v>778</v>
      </c>
      <c r="I149" s="1378">
        <v>12</v>
      </c>
      <c r="J149" s="935">
        <v>44200</v>
      </c>
      <c r="K149" s="936">
        <v>44561</v>
      </c>
      <c r="L149" s="902">
        <v>8.33</v>
      </c>
      <c r="M149" s="707">
        <v>8.33</v>
      </c>
      <c r="N149" s="707">
        <v>8.33</v>
      </c>
      <c r="O149" s="707">
        <v>8.33</v>
      </c>
      <c r="P149" s="707">
        <v>8.33</v>
      </c>
      <c r="Q149" s="707">
        <v>8.33</v>
      </c>
      <c r="R149" s="707">
        <v>8.33</v>
      </c>
      <c r="S149" s="707">
        <v>8.33</v>
      </c>
      <c r="T149" s="707">
        <v>8.34</v>
      </c>
      <c r="U149" s="707">
        <v>8.34</v>
      </c>
      <c r="V149" s="707">
        <v>8.34</v>
      </c>
      <c r="W149" s="861">
        <v>8.34</v>
      </c>
      <c r="X149" s="888">
        <f t="shared" si="28"/>
        <v>100.00000000000001</v>
      </c>
      <c r="Y149" s="663"/>
      <c r="Z149" s="20"/>
      <c r="AA149" s="20"/>
      <c r="AB149" s="20"/>
      <c r="AC149" s="20"/>
      <c r="AD149" s="20"/>
      <c r="AE149" s="20"/>
      <c r="AF149" s="20"/>
      <c r="AG149" s="20"/>
      <c r="AH149" s="20"/>
      <c r="AI149" s="20"/>
      <c r="AJ149" s="33"/>
      <c r="AK149" s="34"/>
    </row>
    <row r="150" spans="1:37" s="35" customFormat="1" ht="60.75" customHeight="1" x14ac:dyDescent="0.2">
      <c r="A150" s="1253" t="s">
        <v>1694</v>
      </c>
      <c r="B150" s="638" t="s">
        <v>779</v>
      </c>
      <c r="C150" s="638" t="s">
        <v>1976</v>
      </c>
      <c r="D150" s="648" t="s">
        <v>1859</v>
      </c>
      <c r="E150" s="610"/>
      <c r="F150" s="764"/>
      <c r="G150" s="1127">
        <v>0.52631578947368418</v>
      </c>
      <c r="H150" s="654" t="s">
        <v>780</v>
      </c>
      <c r="I150" s="1360">
        <v>12</v>
      </c>
      <c r="J150" s="935">
        <v>44200</v>
      </c>
      <c r="K150" s="936">
        <v>44561</v>
      </c>
      <c r="L150" s="902">
        <v>8.33</v>
      </c>
      <c r="M150" s="707">
        <v>8.33</v>
      </c>
      <c r="N150" s="707">
        <v>8.33</v>
      </c>
      <c r="O150" s="707">
        <v>8.33</v>
      </c>
      <c r="P150" s="707">
        <v>8.33</v>
      </c>
      <c r="Q150" s="707">
        <v>8.33</v>
      </c>
      <c r="R150" s="707">
        <v>8.33</v>
      </c>
      <c r="S150" s="707">
        <v>8.33</v>
      </c>
      <c r="T150" s="707">
        <v>8.34</v>
      </c>
      <c r="U150" s="707">
        <v>8.34</v>
      </c>
      <c r="V150" s="707">
        <v>8.34</v>
      </c>
      <c r="W150" s="861">
        <v>8.34</v>
      </c>
      <c r="X150" s="888">
        <f t="shared" si="28"/>
        <v>100.00000000000001</v>
      </c>
      <c r="Y150" s="663"/>
      <c r="Z150" s="20"/>
      <c r="AA150" s="20"/>
      <c r="AB150" s="20"/>
      <c r="AC150" s="20"/>
      <c r="AD150" s="20"/>
      <c r="AE150" s="20"/>
      <c r="AF150" s="20"/>
      <c r="AG150" s="20"/>
      <c r="AH150" s="20"/>
      <c r="AI150" s="20"/>
      <c r="AJ150" s="33"/>
      <c r="AK150" s="34"/>
    </row>
    <row r="151" spans="1:37" s="35" customFormat="1" ht="63.75" customHeight="1" x14ac:dyDescent="0.2">
      <c r="A151" s="1253" t="s">
        <v>1695</v>
      </c>
      <c r="B151" s="638" t="s">
        <v>781</v>
      </c>
      <c r="C151" s="638" t="s">
        <v>1343</v>
      </c>
      <c r="D151" s="648" t="s">
        <v>1859</v>
      </c>
      <c r="E151" s="610"/>
      <c r="F151" s="764"/>
      <c r="G151" s="1127">
        <v>0.52631578947368418</v>
      </c>
      <c r="H151" s="654" t="s">
        <v>782</v>
      </c>
      <c r="I151" s="1360">
        <v>1</v>
      </c>
      <c r="J151" s="935">
        <v>44348</v>
      </c>
      <c r="K151" s="936">
        <v>44377</v>
      </c>
      <c r="L151" s="919"/>
      <c r="M151" s="731"/>
      <c r="N151" s="707"/>
      <c r="O151" s="707"/>
      <c r="P151" s="707"/>
      <c r="Q151" s="707">
        <v>100</v>
      </c>
      <c r="R151" s="707"/>
      <c r="S151" s="707"/>
      <c r="T151" s="707"/>
      <c r="U151" s="707"/>
      <c r="V151" s="707"/>
      <c r="W151" s="861"/>
      <c r="X151" s="888">
        <f t="shared" si="28"/>
        <v>100</v>
      </c>
      <c r="Y151" s="663"/>
      <c r="Z151" s="20"/>
      <c r="AA151" s="20"/>
      <c r="AB151" s="20"/>
      <c r="AC151" s="20"/>
      <c r="AD151" s="20"/>
      <c r="AE151" s="20"/>
      <c r="AF151" s="20"/>
      <c r="AG151" s="20"/>
      <c r="AH151" s="20"/>
      <c r="AI151" s="20"/>
      <c r="AJ151" s="33"/>
      <c r="AK151" s="34"/>
    </row>
    <row r="152" spans="1:37" s="35" customFormat="1" ht="67.5" customHeight="1" x14ac:dyDescent="0.2">
      <c r="A152" s="1253" t="s">
        <v>1696</v>
      </c>
      <c r="B152" s="638" t="s">
        <v>1348</v>
      </c>
      <c r="C152" s="638" t="s">
        <v>1977</v>
      </c>
      <c r="D152" s="648" t="s">
        <v>783</v>
      </c>
      <c r="E152" s="610"/>
      <c r="F152" s="764"/>
      <c r="G152" s="1127">
        <v>0.52631578947368418</v>
      </c>
      <c r="H152" s="654" t="s">
        <v>777</v>
      </c>
      <c r="I152" s="1360">
        <v>2</v>
      </c>
      <c r="J152" s="935">
        <v>44228</v>
      </c>
      <c r="K152" s="936">
        <v>44253</v>
      </c>
      <c r="L152" s="902"/>
      <c r="M152" s="707">
        <v>100</v>
      </c>
      <c r="N152" s="707"/>
      <c r="O152" s="707"/>
      <c r="P152" s="707"/>
      <c r="Q152" s="707"/>
      <c r="R152" s="707"/>
      <c r="S152" s="707"/>
      <c r="T152" s="707"/>
      <c r="U152" s="707"/>
      <c r="V152" s="707"/>
      <c r="W152" s="861"/>
      <c r="X152" s="888">
        <f t="shared" si="28"/>
        <v>100</v>
      </c>
      <c r="Y152" s="663"/>
      <c r="Z152" s="20"/>
      <c r="AA152" s="20"/>
      <c r="AB152" s="20"/>
      <c r="AC152" s="20"/>
      <c r="AD152" s="20"/>
      <c r="AE152" s="20"/>
      <c r="AF152" s="20"/>
      <c r="AG152" s="20"/>
      <c r="AH152" s="20"/>
      <c r="AI152" s="20"/>
      <c r="AJ152" s="33"/>
      <c r="AK152" s="34"/>
    </row>
    <row r="153" spans="1:37" s="35" customFormat="1" ht="66" customHeight="1" x14ac:dyDescent="0.2">
      <c r="A153" s="1253" t="s">
        <v>1697</v>
      </c>
      <c r="B153" s="638" t="s">
        <v>1344</v>
      </c>
      <c r="C153" s="638" t="s">
        <v>1920</v>
      </c>
      <c r="D153" s="648" t="s">
        <v>784</v>
      </c>
      <c r="E153" s="610"/>
      <c r="F153" s="764"/>
      <c r="G153" s="1127">
        <v>0.52631578947368418</v>
      </c>
      <c r="H153" s="654" t="s">
        <v>780</v>
      </c>
      <c r="I153" s="1360">
        <v>12</v>
      </c>
      <c r="J153" s="935">
        <v>44200</v>
      </c>
      <c r="K153" s="936">
        <v>44561</v>
      </c>
      <c r="L153" s="902">
        <v>8.33</v>
      </c>
      <c r="M153" s="707">
        <v>8.33</v>
      </c>
      <c r="N153" s="707">
        <v>8.33</v>
      </c>
      <c r="O153" s="707">
        <v>8.33</v>
      </c>
      <c r="P153" s="707">
        <v>8.33</v>
      </c>
      <c r="Q153" s="707">
        <v>8.33</v>
      </c>
      <c r="R153" s="707">
        <v>8.33</v>
      </c>
      <c r="S153" s="707">
        <v>8.33</v>
      </c>
      <c r="T153" s="707">
        <v>8.34</v>
      </c>
      <c r="U153" s="707">
        <v>8.34</v>
      </c>
      <c r="V153" s="707">
        <v>8.34</v>
      </c>
      <c r="W153" s="861">
        <v>8.34</v>
      </c>
      <c r="X153" s="888">
        <f t="shared" si="28"/>
        <v>100.00000000000001</v>
      </c>
      <c r="Y153" s="663"/>
      <c r="Z153" s="20"/>
      <c r="AA153" s="20"/>
      <c r="AB153" s="20"/>
      <c r="AC153" s="20"/>
      <c r="AD153" s="20"/>
      <c r="AE153" s="20"/>
      <c r="AF153" s="20"/>
      <c r="AG153" s="20"/>
      <c r="AH153" s="20"/>
      <c r="AI153" s="20"/>
      <c r="AJ153" s="33"/>
      <c r="AK153" s="34"/>
    </row>
    <row r="154" spans="1:37" s="35" customFormat="1" ht="57" customHeight="1" x14ac:dyDescent="0.2">
      <c r="A154" s="1253" t="s">
        <v>1698</v>
      </c>
      <c r="B154" s="638" t="s">
        <v>1345</v>
      </c>
      <c r="C154" s="638" t="s">
        <v>1346</v>
      </c>
      <c r="D154" s="648" t="s">
        <v>785</v>
      </c>
      <c r="E154" s="610"/>
      <c r="F154" s="764"/>
      <c r="G154" s="1127">
        <v>0.52631578947368418</v>
      </c>
      <c r="H154" s="654" t="s">
        <v>786</v>
      </c>
      <c r="I154" s="1360">
        <v>12</v>
      </c>
      <c r="J154" s="935">
        <v>44287</v>
      </c>
      <c r="K154" s="936">
        <v>44561</v>
      </c>
      <c r="L154" s="902"/>
      <c r="M154" s="707"/>
      <c r="N154" s="707"/>
      <c r="O154" s="707">
        <v>33.33</v>
      </c>
      <c r="P154" s="707"/>
      <c r="Q154" s="707"/>
      <c r="R154" s="707"/>
      <c r="S154" s="707">
        <v>33.33</v>
      </c>
      <c r="T154" s="707"/>
      <c r="U154" s="707"/>
      <c r="V154" s="707"/>
      <c r="W154" s="861">
        <v>33.33</v>
      </c>
      <c r="X154" s="888">
        <f t="shared" si="28"/>
        <v>99.99</v>
      </c>
      <c r="Y154" s="663"/>
      <c r="Z154" s="20"/>
      <c r="AA154" s="20"/>
      <c r="AB154" s="20"/>
      <c r="AC154" s="20"/>
      <c r="AD154" s="20"/>
      <c r="AE154" s="20"/>
      <c r="AF154" s="20"/>
      <c r="AG154" s="20"/>
      <c r="AH154" s="20"/>
      <c r="AI154" s="20"/>
      <c r="AJ154" s="33"/>
      <c r="AK154" s="34"/>
    </row>
    <row r="155" spans="1:37" s="35" customFormat="1" ht="92.25" customHeight="1" x14ac:dyDescent="0.2">
      <c r="A155" s="1253" t="s">
        <v>1699</v>
      </c>
      <c r="B155" s="640" t="s">
        <v>1347</v>
      </c>
      <c r="C155" s="640" t="s">
        <v>787</v>
      </c>
      <c r="D155" s="648" t="s">
        <v>788</v>
      </c>
      <c r="E155" s="612"/>
      <c r="F155" s="822"/>
      <c r="G155" s="1127">
        <v>0.52631578947368418</v>
      </c>
      <c r="H155" s="659" t="s">
        <v>789</v>
      </c>
      <c r="I155" s="1364">
        <v>1</v>
      </c>
      <c r="J155" s="935">
        <v>43891</v>
      </c>
      <c r="K155" s="936">
        <v>43921</v>
      </c>
      <c r="L155" s="918"/>
      <c r="M155" s="730"/>
      <c r="N155" s="730">
        <v>100</v>
      </c>
      <c r="O155" s="730"/>
      <c r="P155" s="730"/>
      <c r="Q155" s="730"/>
      <c r="R155" s="730"/>
      <c r="S155" s="730"/>
      <c r="T155" s="730"/>
      <c r="U155" s="730"/>
      <c r="V155" s="730"/>
      <c r="W155" s="876"/>
      <c r="X155" s="888">
        <f t="shared" si="28"/>
        <v>100</v>
      </c>
      <c r="Y155" s="663"/>
      <c r="Z155" s="20"/>
      <c r="AA155" s="20"/>
      <c r="AB155" s="20"/>
      <c r="AC155" s="20"/>
      <c r="AD155" s="20"/>
      <c r="AE155" s="20"/>
      <c r="AF155" s="20"/>
      <c r="AG155" s="20"/>
      <c r="AH155" s="20"/>
      <c r="AI155" s="20"/>
      <c r="AJ155" s="33"/>
      <c r="AK155" s="34"/>
    </row>
    <row r="156" spans="1:37" s="35" customFormat="1" ht="67.5" customHeight="1" x14ac:dyDescent="0.2">
      <c r="A156" s="1253" t="s">
        <v>1700</v>
      </c>
      <c r="B156" s="640" t="s">
        <v>1919</v>
      </c>
      <c r="C156" s="640" t="s">
        <v>790</v>
      </c>
      <c r="D156" s="648" t="s">
        <v>788</v>
      </c>
      <c r="E156" s="612"/>
      <c r="F156" s="822"/>
      <c r="G156" s="1127">
        <v>0.52631578947368418</v>
      </c>
      <c r="H156" s="659" t="s">
        <v>575</v>
      </c>
      <c r="I156" s="1364">
        <v>2</v>
      </c>
      <c r="J156" s="935">
        <v>44319</v>
      </c>
      <c r="K156" s="936">
        <v>44377</v>
      </c>
      <c r="L156" s="918"/>
      <c r="M156" s="730"/>
      <c r="N156" s="730"/>
      <c r="O156" s="730"/>
      <c r="P156" s="730">
        <v>50</v>
      </c>
      <c r="Q156" s="730">
        <v>50</v>
      </c>
      <c r="R156" s="730"/>
      <c r="S156" s="730"/>
      <c r="T156" s="730"/>
      <c r="U156" s="730"/>
      <c r="V156" s="730"/>
      <c r="W156" s="876"/>
      <c r="X156" s="888">
        <f t="shared" si="28"/>
        <v>100</v>
      </c>
      <c r="Y156" s="663"/>
      <c r="Z156" s="20"/>
      <c r="AA156" s="20"/>
      <c r="AB156" s="20"/>
      <c r="AC156" s="20"/>
      <c r="AD156" s="20"/>
      <c r="AE156" s="20"/>
      <c r="AF156" s="20"/>
      <c r="AG156" s="20"/>
      <c r="AH156" s="20"/>
      <c r="AI156" s="20"/>
      <c r="AJ156" s="33"/>
      <c r="AK156" s="34"/>
    </row>
    <row r="157" spans="1:37" s="35" customFormat="1" ht="63.75" customHeight="1" x14ac:dyDescent="0.2">
      <c r="A157" s="1253" t="s">
        <v>1701</v>
      </c>
      <c r="B157" s="640" t="s">
        <v>791</v>
      </c>
      <c r="C157" s="640" t="s">
        <v>1894</v>
      </c>
      <c r="D157" s="648" t="s">
        <v>788</v>
      </c>
      <c r="E157" s="612"/>
      <c r="F157" s="822"/>
      <c r="G157" s="1127">
        <v>0.52631578947368418</v>
      </c>
      <c r="H157" s="659" t="s">
        <v>575</v>
      </c>
      <c r="I157" s="1364">
        <v>4</v>
      </c>
      <c r="J157" s="935">
        <v>44378</v>
      </c>
      <c r="K157" s="936">
        <v>44498</v>
      </c>
      <c r="L157" s="918"/>
      <c r="M157" s="730"/>
      <c r="N157" s="730"/>
      <c r="O157" s="730"/>
      <c r="P157" s="730"/>
      <c r="Q157" s="730"/>
      <c r="R157" s="730">
        <v>25</v>
      </c>
      <c r="S157" s="730">
        <v>25</v>
      </c>
      <c r="T157" s="730">
        <v>25</v>
      </c>
      <c r="U157" s="730">
        <v>25</v>
      </c>
      <c r="V157" s="730"/>
      <c r="W157" s="876"/>
      <c r="X157" s="888">
        <f t="shared" si="28"/>
        <v>100</v>
      </c>
      <c r="Y157" s="663"/>
      <c r="Z157" s="20"/>
      <c r="AA157" s="20"/>
      <c r="AB157" s="20"/>
      <c r="AC157" s="20"/>
      <c r="AD157" s="20"/>
      <c r="AE157" s="20"/>
      <c r="AF157" s="20"/>
      <c r="AG157" s="20"/>
      <c r="AH157" s="20"/>
      <c r="AI157" s="20"/>
      <c r="AJ157" s="33"/>
      <c r="AK157" s="34"/>
    </row>
    <row r="158" spans="1:37" s="35" customFormat="1" ht="75.75" customHeight="1" x14ac:dyDescent="0.2">
      <c r="A158" s="1253" t="s">
        <v>1702</v>
      </c>
      <c r="B158" s="640" t="s">
        <v>792</v>
      </c>
      <c r="C158" s="640" t="s">
        <v>793</v>
      </c>
      <c r="D158" s="648" t="s">
        <v>788</v>
      </c>
      <c r="E158" s="610"/>
      <c r="F158" s="764"/>
      <c r="G158" s="1127">
        <v>0.52631578947368418</v>
      </c>
      <c r="H158" s="659" t="s">
        <v>575</v>
      </c>
      <c r="I158" s="1353">
        <v>1</v>
      </c>
      <c r="J158" s="935">
        <v>44501</v>
      </c>
      <c r="K158" s="936">
        <v>44530</v>
      </c>
      <c r="L158" s="902"/>
      <c r="M158" s="707"/>
      <c r="N158" s="707"/>
      <c r="O158" s="707"/>
      <c r="P158" s="707"/>
      <c r="Q158" s="707"/>
      <c r="R158" s="707"/>
      <c r="S158" s="707"/>
      <c r="T158" s="707"/>
      <c r="U158" s="707"/>
      <c r="V158" s="707">
        <v>100</v>
      </c>
      <c r="W158" s="861"/>
      <c r="X158" s="888">
        <f t="shared" si="28"/>
        <v>100</v>
      </c>
      <c r="Y158" s="663"/>
      <c r="Z158" s="20"/>
      <c r="AA158" s="20"/>
      <c r="AB158" s="20"/>
      <c r="AC158" s="20"/>
      <c r="AD158" s="20"/>
      <c r="AE158" s="20"/>
      <c r="AF158" s="20"/>
      <c r="AG158" s="20"/>
      <c r="AH158" s="20"/>
      <c r="AI158" s="20"/>
      <c r="AJ158" s="33"/>
      <c r="AK158" s="34"/>
    </row>
    <row r="159" spans="1:37" s="35" customFormat="1" ht="59.25" customHeight="1" x14ac:dyDescent="0.2">
      <c r="A159" s="1253" t="s">
        <v>1703</v>
      </c>
      <c r="B159" s="1878" t="s">
        <v>920</v>
      </c>
      <c r="C159" s="1879" t="s">
        <v>921</v>
      </c>
      <c r="D159" s="1880" t="s">
        <v>922</v>
      </c>
      <c r="E159" s="1881"/>
      <c r="F159" s="1882"/>
      <c r="G159" s="1883">
        <v>0.52631578947368418</v>
      </c>
      <c r="H159" s="1884" t="s">
        <v>923</v>
      </c>
      <c r="I159" s="1885">
        <v>250</v>
      </c>
      <c r="J159" s="1886">
        <v>44200</v>
      </c>
      <c r="K159" s="1887">
        <v>44561</v>
      </c>
      <c r="L159" s="1888">
        <f>21*0.4</f>
        <v>8.4</v>
      </c>
      <c r="M159" s="1888">
        <f>19*0.4</f>
        <v>7.6000000000000005</v>
      </c>
      <c r="N159" s="1888">
        <f>22*0.4</f>
        <v>8.8000000000000007</v>
      </c>
      <c r="O159" s="1888">
        <f>21*0.4</f>
        <v>8.4</v>
      </c>
      <c r="P159" s="1888">
        <f>20*0.4</f>
        <v>8</v>
      </c>
      <c r="Q159" s="1888">
        <f>20*0.4</f>
        <v>8</v>
      </c>
      <c r="R159" s="1888">
        <f>22*0.4</f>
        <v>8.8000000000000007</v>
      </c>
      <c r="S159" s="1888">
        <f>20*0.4</f>
        <v>8</v>
      </c>
      <c r="T159" s="1888">
        <f>21*0.4</f>
        <v>8.4</v>
      </c>
      <c r="U159" s="1888">
        <f>21*0.4</f>
        <v>8.4</v>
      </c>
      <c r="V159" s="1888">
        <f>20*0.4</f>
        <v>8</v>
      </c>
      <c r="W159" s="1889">
        <f>22*0.4</f>
        <v>8.8000000000000007</v>
      </c>
      <c r="X159" s="888">
        <f t="shared" si="28"/>
        <v>99.600000000000009</v>
      </c>
      <c r="Y159" s="663"/>
      <c r="Z159" s="20"/>
      <c r="AA159" s="20"/>
      <c r="AB159" s="20"/>
      <c r="AC159" s="20"/>
      <c r="AD159" s="20"/>
      <c r="AE159" s="20"/>
      <c r="AF159" s="20"/>
      <c r="AG159" s="20"/>
      <c r="AH159" s="20"/>
      <c r="AI159" s="20"/>
      <c r="AJ159" s="33"/>
      <c r="AK159" s="34"/>
    </row>
    <row r="160" spans="1:37" s="35" customFormat="1" ht="54" customHeight="1" x14ac:dyDescent="0.2">
      <c r="A160" s="1253" t="s">
        <v>1704</v>
      </c>
      <c r="B160" s="1879" t="s">
        <v>924</v>
      </c>
      <c r="C160" s="1879" t="s">
        <v>1377</v>
      </c>
      <c r="D160" s="1880" t="s">
        <v>922</v>
      </c>
      <c r="E160" s="1890"/>
      <c r="F160" s="1891"/>
      <c r="G160" s="1883">
        <v>0.52631578947368418</v>
      </c>
      <c r="H160" s="1892" t="s">
        <v>925</v>
      </c>
      <c r="I160" s="1885">
        <v>5</v>
      </c>
      <c r="J160" s="1886">
        <v>44228</v>
      </c>
      <c r="K160" s="1887">
        <v>44530</v>
      </c>
      <c r="L160" s="1893"/>
      <c r="M160" s="1894">
        <f>(1*100/I160)</f>
        <v>20</v>
      </c>
      <c r="N160" s="1895"/>
      <c r="O160" s="1896"/>
      <c r="P160" s="1894">
        <f>(1*100/I160)</f>
        <v>20</v>
      </c>
      <c r="Q160" s="1896"/>
      <c r="R160" s="1896">
        <f>(1*100/I160)</f>
        <v>20</v>
      </c>
      <c r="S160" s="1896"/>
      <c r="T160" s="1896">
        <f>(1*100/I160)</f>
        <v>20</v>
      </c>
      <c r="U160" s="1897"/>
      <c r="V160" s="1896">
        <f>(1*100/I160)</f>
        <v>20</v>
      </c>
      <c r="W160" s="1898"/>
      <c r="X160" s="888">
        <f t="shared" si="28"/>
        <v>100</v>
      </c>
      <c r="Y160" s="663"/>
      <c r="Z160" s="20"/>
      <c r="AA160" s="20"/>
      <c r="AB160" s="20"/>
      <c r="AC160" s="20"/>
      <c r="AD160" s="20"/>
      <c r="AE160" s="20"/>
      <c r="AF160" s="20"/>
      <c r="AG160" s="20"/>
      <c r="AH160" s="20"/>
      <c r="AI160" s="20"/>
      <c r="AJ160" s="33"/>
      <c r="AK160" s="34"/>
    </row>
    <row r="161" spans="1:37" s="35" customFormat="1" ht="60" customHeight="1" x14ac:dyDescent="0.2">
      <c r="A161" s="1253" t="s">
        <v>1705</v>
      </c>
      <c r="B161" s="1899" t="s">
        <v>926</v>
      </c>
      <c r="C161" s="1899" t="s">
        <v>927</v>
      </c>
      <c r="D161" s="1880" t="s">
        <v>922</v>
      </c>
      <c r="E161" s="1881"/>
      <c r="F161" s="1882"/>
      <c r="G161" s="1883">
        <v>0.52631578947368418</v>
      </c>
      <c r="H161" s="1892" t="s">
        <v>928</v>
      </c>
      <c r="I161" s="1900">
        <v>48</v>
      </c>
      <c r="J161" s="1886">
        <v>44200</v>
      </c>
      <c r="K161" s="1887">
        <v>44561</v>
      </c>
      <c r="L161" s="1893">
        <f>4*100/48</f>
        <v>8.3333333333333339</v>
      </c>
      <c r="M161" s="1896">
        <f t="shared" ref="M161:W161" si="36">4*100/48</f>
        <v>8.3333333333333339</v>
      </c>
      <c r="N161" s="1896">
        <f t="shared" si="36"/>
        <v>8.3333333333333339</v>
      </c>
      <c r="O161" s="1896">
        <f t="shared" si="36"/>
        <v>8.3333333333333339</v>
      </c>
      <c r="P161" s="1896">
        <f t="shared" si="36"/>
        <v>8.3333333333333339</v>
      </c>
      <c r="Q161" s="1896">
        <f t="shared" si="36"/>
        <v>8.3333333333333339</v>
      </c>
      <c r="R161" s="1896">
        <f t="shared" si="36"/>
        <v>8.3333333333333339</v>
      </c>
      <c r="S161" s="1896">
        <f t="shared" si="36"/>
        <v>8.3333333333333339</v>
      </c>
      <c r="T161" s="1896">
        <f t="shared" si="36"/>
        <v>8.3333333333333339</v>
      </c>
      <c r="U161" s="1896">
        <f t="shared" si="36"/>
        <v>8.3333333333333339</v>
      </c>
      <c r="V161" s="1896">
        <f t="shared" si="36"/>
        <v>8.3333333333333339</v>
      </c>
      <c r="W161" s="1901">
        <f t="shared" si="36"/>
        <v>8.3333333333333339</v>
      </c>
      <c r="X161" s="888">
        <f t="shared" si="28"/>
        <v>99.999999999999986</v>
      </c>
      <c r="Y161" s="663"/>
      <c r="Z161" s="20"/>
      <c r="AA161" s="20"/>
      <c r="AB161" s="20"/>
      <c r="AC161" s="20"/>
      <c r="AD161" s="20"/>
      <c r="AE161" s="20"/>
      <c r="AF161" s="20"/>
      <c r="AG161" s="20"/>
      <c r="AH161" s="20"/>
      <c r="AI161" s="20"/>
      <c r="AJ161" s="33"/>
      <c r="AK161" s="34"/>
    </row>
    <row r="162" spans="1:37" s="35" customFormat="1" ht="55.5" customHeight="1" x14ac:dyDescent="0.2">
      <c r="A162" s="1253" t="s">
        <v>1706</v>
      </c>
      <c r="B162" s="1878" t="s">
        <v>929</v>
      </c>
      <c r="C162" s="1879" t="s">
        <v>930</v>
      </c>
      <c r="D162" s="1880" t="s">
        <v>922</v>
      </c>
      <c r="E162" s="1881"/>
      <c r="F162" s="1882"/>
      <c r="G162" s="1883">
        <v>0.52631578947368418</v>
      </c>
      <c r="H162" s="1892" t="s">
        <v>931</v>
      </c>
      <c r="I162" s="1885">
        <v>135</v>
      </c>
      <c r="J162" s="1886">
        <v>44200</v>
      </c>
      <c r="K162" s="1887">
        <v>44561</v>
      </c>
      <c r="L162" s="1893">
        <f>8*100/I162</f>
        <v>5.9259259259259256</v>
      </c>
      <c r="M162" s="1896">
        <f>8*100/I162</f>
        <v>5.9259259259259256</v>
      </c>
      <c r="N162" s="1896">
        <f>10*100/I162</f>
        <v>7.4074074074074074</v>
      </c>
      <c r="O162" s="1896">
        <f>12*100/I162</f>
        <v>8.8888888888888893</v>
      </c>
      <c r="P162" s="1896">
        <f>12*100/I162</f>
        <v>8.8888888888888893</v>
      </c>
      <c r="Q162" s="1896">
        <f>12*100/I162</f>
        <v>8.8888888888888893</v>
      </c>
      <c r="R162" s="1896">
        <f>12*100/I162</f>
        <v>8.8888888888888893</v>
      </c>
      <c r="S162" s="1896">
        <f>12*100/I162</f>
        <v>8.8888888888888893</v>
      </c>
      <c r="T162" s="1896">
        <f>12*100/I162</f>
        <v>8.8888888888888893</v>
      </c>
      <c r="U162" s="1896">
        <f>12*100/I162</f>
        <v>8.8888888888888893</v>
      </c>
      <c r="V162" s="1896">
        <f>12*100/I162</f>
        <v>8.8888888888888893</v>
      </c>
      <c r="W162" s="1901">
        <f>13*100/I162</f>
        <v>9.6296296296296298</v>
      </c>
      <c r="X162" s="888">
        <f t="shared" si="28"/>
        <v>99.999999999999986</v>
      </c>
      <c r="Y162" s="663"/>
      <c r="Z162" s="20"/>
      <c r="AA162" s="20"/>
      <c r="AB162" s="20"/>
      <c r="AC162" s="20"/>
      <c r="AD162" s="20"/>
      <c r="AE162" s="20"/>
      <c r="AF162" s="20"/>
      <c r="AG162" s="20"/>
      <c r="AH162" s="20"/>
      <c r="AI162" s="20"/>
      <c r="AJ162" s="33"/>
      <c r="AK162" s="34"/>
    </row>
    <row r="163" spans="1:37" s="35" customFormat="1" ht="52.5" customHeight="1" x14ac:dyDescent="0.2">
      <c r="A163" s="1253" t="s">
        <v>1707</v>
      </c>
      <c r="B163" s="1878" t="s">
        <v>932</v>
      </c>
      <c r="C163" s="1879" t="s">
        <v>933</v>
      </c>
      <c r="D163" s="1880" t="s">
        <v>922</v>
      </c>
      <c r="E163" s="1881"/>
      <c r="F163" s="1882"/>
      <c r="G163" s="1883">
        <v>0.52631578947368418</v>
      </c>
      <c r="H163" s="1892" t="s">
        <v>931</v>
      </c>
      <c r="I163" s="1885">
        <v>1</v>
      </c>
      <c r="J163" s="1886">
        <v>44256</v>
      </c>
      <c r="K163" s="1887">
        <v>43921</v>
      </c>
      <c r="L163" s="1893"/>
      <c r="M163" s="1896"/>
      <c r="N163" s="1896">
        <v>100</v>
      </c>
      <c r="O163" s="1896"/>
      <c r="P163" s="1896"/>
      <c r="Q163" s="1896"/>
      <c r="R163" s="1896"/>
      <c r="S163" s="1896"/>
      <c r="T163" s="1896"/>
      <c r="U163" s="1902"/>
      <c r="V163" s="1896"/>
      <c r="W163" s="1903"/>
      <c r="X163" s="888">
        <f t="shared" si="28"/>
        <v>100</v>
      </c>
      <c r="Y163" s="663"/>
      <c r="Z163" s="20"/>
      <c r="AA163" s="20"/>
      <c r="AB163" s="20"/>
      <c r="AC163" s="20"/>
      <c r="AD163" s="20"/>
      <c r="AE163" s="20"/>
      <c r="AF163" s="20"/>
      <c r="AG163" s="20"/>
      <c r="AH163" s="20"/>
      <c r="AI163" s="20"/>
      <c r="AJ163" s="33"/>
      <c r="AK163" s="34"/>
    </row>
    <row r="164" spans="1:37" s="35" customFormat="1" ht="77.25" customHeight="1" x14ac:dyDescent="0.2">
      <c r="A164" s="1253" t="s">
        <v>1708</v>
      </c>
      <c r="B164" s="1879" t="s">
        <v>934</v>
      </c>
      <c r="C164" s="1879" t="s">
        <v>935</v>
      </c>
      <c r="D164" s="1880" t="s">
        <v>922</v>
      </c>
      <c r="E164" s="1890"/>
      <c r="F164" s="1891"/>
      <c r="G164" s="1883">
        <v>0.52631578947368418</v>
      </c>
      <c r="H164" s="1892" t="s">
        <v>936</v>
      </c>
      <c r="I164" s="1885">
        <v>4</v>
      </c>
      <c r="J164" s="1886">
        <v>44256</v>
      </c>
      <c r="K164" s="1887">
        <v>44561</v>
      </c>
      <c r="L164" s="1893"/>
      <c r="M164" s="1896"/>
      <c r="N164" s="1896">
        <f>2*100/8</f>
        <v>25</v>
      </c>
      <c r="O164" s="1896"/>
      <c r="P164" s="1896"/>
      <c r="Q164" s="1896">
        <f>2*100/8</f>
        <v>25</v>
      </c>
      <c r="R164" s="1896"/>
      <c r="S164" s="1896"/>
      <c r="T164" s="1896">
        <f>2*100/8</f>
        <v>25</v>
      </c>
      <c r="U164" s="1896"/>
      <c r="V164" s="1896"/>
      <c r="W164" s="1901">
        <f>2*100/8</f>
        <v>25</v>
      </c>
      <c r="X164" s="888">
        <f t="shared" si="28"/>
        <v>100</v>
      </c>
      <c r="Y164" s="663"/>
      <c r="Z164" s="20"/>
      <c r="AA164" s="20"/>
      <c r="AB164" s="20"/>
      <c r="AC164" s="20"/>
      <c r="AD164" s="20"/>
      <c r="AE164" s="20"/>
      <c r="AF164" s="20"/>
      <c r="AG164" s="20"/>
      <c r="AH164" s="20"/>
      <c r="AI164" s="20"/>
      <c r="AJ164" s="33"/>
      <c r="AK164" s="34"/>
    </row>
    <row r="165" spans="1:37" s="35" customFormat="1" ht="82.5" customHeight="1" x14ac:dyDescent="0.2">
      <c r="A165" s="1253" t="s">
        <v>1709</v>
      </c>
      <c r="B165" s="1878" t="s">
        <v>937</v>
      </c>
      <c r="C165" s="1879" t="s">
        <v>938</v>
      </c>
      <c r="D165" s="1880" t="s">
        <v>922</v>
      </c>
      <c r="E165" s="1881"/>
      <c r="F165" s="1882"/>
      <c r="G165" s="1883">
        <v>0.52631578947368418</v>
      </c>
      <c r="H165" s="1892" t="s">
        <v>939</v>
      </c>
      <c r="I165" s="1885">
        <v>2</v>
      </c>
      <c r="J165" s="1886">
        <v>44228</v>
      </c>
      <c r="K165" s="1887">
        <v>44407</v>
      </c>
      <c r="L165" s="1904"/>
      <c r="M165" s="1896">
        <f>1*100/2</f>
        <v>50</v>
      </c>
      <c r="N165" s="1905"/>
      <c r="O165" s="1906"/>
      <c r="P165" s="1907"/>
      <c r="Q165" s="1902"/>
      <c r="R165" s="1896">
        <f>1*100/2</f>
        <v>50</v>
      </c>
      <c r="S165" s="1896"/>
      <c r="T165" s="1896"/>
      <c r="U165" s="1896"/>
      <c r="V165" s="1896"/>
      <c r="W165" s="1901"/>
      <c r="X165" s="888">
        <f t="shared" si="28"/>
        <v>100</v>
      </c>
      <c r="Y165" s="663"/>
      <c r="Z165" s="20"/>
      <c r="AA165" s="20"/>
      <c r="AB165" s="20"/>
      <c r="AC165" s="20"/>
      <c r="AD165" s="20"/>
      <c r="AE165" s="20"/>
      <c r="AF165" s="20"/>
      <c r="AG165" s="20"/>
      <c r="AH165" s="20"/>
      <c r="AI165" s="20"/>
      <c r="AJ165" s="33"/>
      <c r="AK165" s="34"/>
    </row>
    <row r="166" spans="1:37" s="35" customFormat="1" ht="51.75" customHeight="1" x14ac:dyDescent="0.2">
      <c r="A166" s="1253" t="s">
        <v>1710</v>
      </c>
      <c r="B166" s="1879" t="s">
        <v>940</v>
      </c>
      <c r="C166" s="1879" t="s">
        <v>941</v>
      </c>
      <c r="D166" s="1880" t="s">
        <v>922</v>
      </c>
      <c r="E166" s="1890"/>
      <c r="F166" s="1891"/>
      <c r="G166" s="1883">
        <v>0.52631578947368418</v>
      </c>
      <c r="H166" s="1892" t="s">
        <v>939</v>
      </c>
      <c r="I166" s="1885">
        <v>2</v>
      </c>
      <c r="J166" s="1886">
        <v>44410</v>
      </c>
      <c r="K166" s="1887">
        <v>44439</v>
      </c>
      <c r="L166" s="1893"/>
      <c r="M166" s="1896"/>
      <c r="N166" s="1896"/>
      <c r="O166" s="1895"/>
      <c r="P166" s="1896"/>
      <c r="Q166" s="1896"/>
      <c r="R166" s="1895"/>
      <c r="S166" s="1896">
        <v>100</v>
      </c>
      <c r="T166" s="1896"/>
      <c r="U166" s="1896"/>
      <c r="V166" s="1896"/>
      <c r="W166" s="1901"/>
      <c r="X166" s="888">
        <f t="shared" si="28"/>
        <v>100</v>
      </c>
      <c r="Y166" s="663"/>
      <c r="Z166" s="20"/>
      <c r="AA166" s="20"/>
      <c r="AB166" s="20"/>
      <c r="AC166" s="20"/>
      <c r="AD166" s="20"/>
      <c r="AE166" s="20"/>
      <c r="AF166" s="20"/>
      <c r="AG166" s="20"/>
      <c r="AH166" s="20"/>
      <c r="AI166" s="20"/>
      <c r="AJ166" s="33"/>
      <c r="AK166" s="34"/>
    </row>
    <row r="167" spans="1:37" s="35" customFormat="1" ht="66.75" customHeight="1" x14ac:dyDescent="0.2">
      <c r="A167" s="1253" t="s">
        <v>1711</v>
      </c>
      <c r="B167" s="1899" t="s">
        <v>1378</v>
      </c>
      <c r="C167" s="1879" t="s">
        <v>1379</v>
      </c>
      <c r="D167" s="1880" t="s">
        <v>922</v>
      </c>
      <c r="E167" s="1890"/>
      <c r="F167" s="1891"/>
      <c r="G167" s="1883">
        <v>0.52631578947368418</v>
      </c>
      <c r="H167" s="1892" t="s">
        <v>942</v>
      </c>
      <c r="I167" s="1885">
        <v>1</v>
      </c>
      <c r="J167" s="1908">
        <v>43834</v>
      </c>
      <c r="K167" s="1909">
        <v>43859</v>
      </c>
      <c r="L167" s="1910">
        <v>100</v>
      </c>
      <c r="M167" s="1902"/>
      <c r="N167" s="1911"/>
      <c r="O167" s="1911"/>
      <c r="P167" s="1911"/>
      <c r="Q167" s="1911"/>
      <c r="R167" s="1911"/>
      <c r="S167" s="1911"/>
      <c r="T167" s="1911"/>
      <c r="U167" s="1911"/>
      <c r="V167" s="1911"/>
      <c r="W167" s="1912"/>
      <c r="X167" s="888">
        <f t="shared" ref="X167:X232" si="37">+SUM(L167:W167)</f>
        <v>100</v>
      </c>
      <c r="Y167" s="663"/>
      <c r="Z167" s="20"/>
      <c r="AA167" s="20"/>
      <c r="AB167" s="20"/>
      <c r="AC167" s="20"/>
      <c r="AD167" s="20"/>
      <c r="AE167" s="20"/>
      <c r="AF167" s="20"/>
      <c r="AG167" s="20"/>
      <c r="AH167" s="20"/>
      <c r="AI167" s="20"/>
      <c r="AJ167" s="33"/>
      <c r="AK167" s="34"/>
    </row>
    <row r="168" spans="1:37" s="35" customFormat="1" ht="59.25" customHeight="1" x14ac:dyDescent="0.2">
      <c r="A168" s="1253" t="s">
        <v>1712</v>
      </c>
      <c r="B168" s="1899" t="s">
        <v>1380</v>
      </c>
      <c r="C168" s="1878" t="s">
        <v>1978</v>
      </c>
      <c r="D168" s="1880" t="s">
        <v>922</v>
      </c>
      <c r="E168" s="1890"/>
      <c r="F168" s="1891"/>
      <c r="G168" s="1883">
        <v>0.52631578947368418</v>
      </c>
      <c r="H168" s="1892" t="s">
        <v>684</v>
      </c>
      <c r="I168" s="1885">
        <v>22</v>
      </c>
      <c r="J168" s="1886">
        <v>43862</v>
      </c>
      <c r="K168" s="1887">
        <v>44196</v>
      </c>
      <c r="L168" s="1910"/>
      <c r="M168" s="1902">
        <v>9.0909090909090917</v>
      </c>
      <c r="N168" s="1902">
        <v>9.0909090909090917</v>
      </c>
      <c r="O168" s="1902">
        <v>9.0909090909090917</v>
      </c>
      <c r="P168" s="1902">
        <v>9.0909090909090917</v>
      </c>
      <c r="Q168" s="1902">
        <v>9.0909090909090917</v>
      </c>
      <c r="R168" s="1902">
        <v>9.0909090909090917</v>
      </c>
      <c r="S168" s="1902">
        <v>9.0909090909090899</v>
      </c>
      <c r="T168" s="1902">
        <v>9.0909090909090917</v>
      </c>
      <c r="U168" s="1902">
        <v>9.0909090909090917</v>
      </c>
      <c r="V168" s="1902">
        <v>9.0909090909090917</v>
      </c>
      <c r="W168" s="1903">
        <v>9.0909090909090917</v>
      </c>
      <c r="X168" s="888">
        <f t="shared" si="37"/>
        <v>100.00000000000001</v>
      </c>
      <c r="Y168" s="663"/>
      <c r="Z168" s="20"/>
      <c r="AA168" s="20"/>
      <c r="AB168" s="20"/>
      <c r="AC168" s="20"/>
      <c r="AD168" s="20"/>
      <c r="AE168" s="20"/>
      <c r="AF168" s="20"/>
      <c r="AG168" s="20"/>
      <c r="AH168" s="20"/>
      <c r="AI168" s="20"/>
      <c r="AJ168" s="33"/>
      <c r="AK168" s="34"/>
    </row>
    <row r="169" spans="1:37" s="35" customFormat="1" ht="61.5" customHeight="1" x14ac:dyDescent="0.2">
      <c r="A169" s="1253" t="s">
        <v>1713</v>
      </c>
      <c r="B169" s="1879" t="s">
        <v>943</v>
      </c>
      <c r="C169" s="1879" t="s">
        <v>868</v>
      </c>
      <c r="D169" s="1880" t="s">
        <v>922</v>
      </c>
      <c r="E169" s="1890"/>
      <c r="F169" s="1891"/>
      <c r="G169" s="1883">
        <v>0.52631578947368418</v>
      </c>
      <c r="H169" s="1913" t="s">
        <v>944</v>
      </c>
      <c r="I169" s="1914">
        <v>1</v>
      </c>
      <c r="J169" s="1908">
        <v>43862</v>
      </c>
      <c r="K169" s="1909">
        <v>43887</v>
      </c>
      <c r="L169" s="1915"/>
      <c r="M169" s="1916">
        <v>100</v>
      </c>
      <c r="N169" s="1916"/>
      <c r="O169" s="1916"/>
      <c r="P169" s="1916"/>
      <c r="Q169" s="1916"/>
      <c r="R169" s="1916"/>
      <c r="S169" s="1916"/>
      <c r="T169" s="1916"/>
      <c r="U169" s="1916"/>
      <c r="V169" s="1916"/>
      <c r="W169" s="1917"/>
      <c r="X169" s="888">
        <f t="shared" si="37"/>
        <v>100</v>
      </c>
      <c r="Y169" s="663"/>
      <c r="Z169" s="20"/>
      <c r="AA169" s="20"/>
      <c r="AB169" s="20"/>
      <c r="AC169" s="20"/>
      <c r="AD169" s="20"/>
      <c r="AE169" s="20"/>
      <c r="AF169" s="20"/>
      <c r="AG169" s="20"/>
      <c r="AH169" s="20"/>
      <c r="AI169" s="20"/>
      <c r="AJ169" s="33"/>
      <c r="AK169" s="34"/>
    </row>
    <row r="170" spans="1:37" s="35" customFormat="1" ht="70.5" customHeight="1" x14ac:dyDescent="0.2">
      <c r="A170" s="1253" t="s">
        <v>1714</v>
      </c>
      <c r="B170" s="1879" t="s">
        <v>945</v>
      </c>
      <c r="C170" s="1918" t="s">
        <v>868</v>
      </c>
      <c r="D170" s="1880" t="s">
        <v>922</v>
      </c>
      <c r="E170" s="1890"/>
      <c r="F170" s="1891"/>
      <c r="G170" s="1883">
        <v>0.52631578947368418</v>
      </c>
      <c r="H170" s="1913" t="s">
        <v>944</v>
      </c>
      <c r="I170" s="1914">
        <v>1</v>
      </c>
      <c r="J170" s="1908">
        <v>43922</v>
      </c>
      <c r="K170" s="1909">
        <v>43951</v>
      </c>
      <c r="L170" s="1910"/>
      <c r="M170" s="1916"/>
      <c r="N170" s="1895"/>
      <c r="O170" s="1916">
        <v>100</v>
      </c>
      <c r="P170" s="1916"/>
      <c r="Q170" s="1897"/>
      <c r="R170" s="1916"/>
      <c r="S170" s="1916"/>
      <c r="T170" s="1916"/>
      <c r="U170" s="1916"/>
      <c r="V170" s="1916"/>
      <c r="W170" s="1917"/>
      <c r="X170" s="888">
        <f t="shared" si="37"/>
        <v>100</v>
      </c>
      <c r="Y170" s="663"/>
      <c r="Z170" s="20"/>
      <c r="AA170" s="20"/>
      <c r="AB170" s="20"/>
      <c r="AC170" s="20"/>
      <c r="AD170" s="20"/>
      <c r="AE170" s="20"/>
      <c r="AF170" s="20"/>
      <c r="AG170" s="20"/>
      <c r="AH170" s="20"/>
      <c r="AI170" s="20"/>
      <c r="AJ170" s="33"/>
      <c r="AK170" s="34"/>
    </row>
    <row r="171" spans="1:37" s="35" customFormat="1" ht="78.75" customHeight="1" x14ac:dyDescent="0.2">
      <c r="A171" s="1253" t="s">
        <v>1715</v>
      </c>
      <c r="B171" s="680" t="s">
        <v>794</v>
      </c>
      <c r="C171" s="680" t="s">
        <v>795</v>
      </c>
      <c r="D171" s="648" t="s">
        <v>796</v>
      </c>
      <c r="E171" s="613"/>
      <c r="F171" s="614"/>
      <c r="G171" s="1127">
        <v>0.52631578947368418</v>
      </c>
      <c r="H171" s="893" t="s">
        <v>797</v>
      </c>
      <c r="I171" s="1372">
        <v>3</v>
      </c>
      <c r="J171" s="783">
        <v>44287</v>
      </c>
      <c r="K171" s="1333">
        <v>44561</v>
      </c>
      <c r="L171" s="902"/>
      <c r="M171" s="707"/>
      <c r="N171" s="707"/>
      <c r="O171" s="707">
        <v>33.333333333333336</v>
      </c>
      <c r="P171" s="707"/>
      <c r="Q171" s="707"/>
      <c r="R171" s="707"/>
      <c r="S171" s="707">
        <v>33.333333333333336</v>
      </c>
      <c r="T171" s="707"/>
      <c r="U171" s="707"/>
      <c r="V171" s="707"/>
      <c r="W171" s="861">
        <v>33.333333333333336</v>
      </c>
      <c r="X171" s="888">
        <f t="shared" si="37"/>
        <v>100</v>
      </c>
      <c r="Y171" s="663"/>
      <c r="Z171" s="20"/>
      <c r="AA171" s="20"/>
      <c r="AB171" s="20"/>
      <c r="AC171" s="20"/>
      <c r="AD171" s="20"/>
      <c r="AE171" s="20"/>
      <c r="AF171" s="20"/>
      <c r="AG171" s="20"/>
      <c r="AH171" s="20"/>
      <c r="AI171" s="20"/>
      <c r="AJ171" s="33"/>
      <c r="AK171" s="34"/>
    </row>
    <row r="172" spans="1:37" s="35" customFormat="1" ht="72" customHeight="1" x14ac:dyDescent="0.2">
      <c r="A172" s="1253" t="s">
        <v>1716</v>
      </c>
      <c r="B172" s="680" t="s">
        <v>1918</v>
      </c>
      <c r="C172" s="680" t="s">
        <v>798</v>
      </c>
      <c r="D172" s="648" t="s">
        <v>796</v>
      </c>
      <c r="E172" s="613"/>
      <c r="F172" s="614"/>
      <c r="G172" s="1127">
        <v>0.52631578947368418</v>
      </c>
      <c r="H172" s="893" t="s">
        <v>797</v>
      </c>
      <c r="I172" s="1372">
        <v>12</v>
      </c>
      <c r="J172" s="783">
        <v>44200</v>
      </c>
      <c r="K172" s="1333">
        <v>44561</v>
      </c>
      <c r="L172" s="902">
        <v>8.3333333333333339</v>
      </c>
      <c r="M172" s="707">
        <v>8.3333333333333339</v>
      </c>
      <c r="N172" s="707">
        <v>8.3333333333333339</v>
      </c>
      <c r="O172" s="707">
        <v>8.3333333333333339</v>
      </c>
      <c r="P172" s="707">
        <v>8.3333333333333339</v>
      </c>
      <c r="Q172" s="707">
        <v>8.3333333333333339</v>
      </c>
      <c r="R172" s="707">
        <v>8.3333333333333339</v>
      </c>
      <c r="S172" s="707">
        <v>8.3333333333333339</v>
      </c>
      <c r="T172" s="707">
        <v>8.3333333333333339</v>
      </c>
      <c r="U172" s="707">
        <v>8.3333333333333339</v>
      </c>
      <c r="V172" s="707">
        <v>8.3333333333333339</v>
      </c>
      <c r="W172" s="861">
        <v>8.3333333333333339</v>
      </c>
      <c r="X172" s="888">
        <f t="shared" si="37"/>
        <v>99.999999999999986</v>
      </c>
      <c r="Y172" s="663"/>
      <c r="Z172" s="20"/>
      <c r="AA172" s="20"/>
      <c r="AB172" s="20"/>
      <c r="AC172" s="20"/>
      <c r="AD172" s="20"/>
      <c r="AE172" s="20"/>
      <c r="AF172" s="20"/>
      <c r="AG172" s="20"/>
      <c r="AH172" s="20"/>
      <c r="AI172" s="20"/>
      <c r="AJ172" s="33"/>
      <c r="AK172" s="34"/>
    </row>
    <row r="173" spans="1:37" s="35" customFormat="1" ht="75.75" customHeight="1" x14ac:dyDescent="0.2">
      <c r="A173" s="1253" t="s">
        <v>1717</v>
      </c>
      <c r="B173" s="680" t="s">
        <v>799</v>
      </c>
      <c r="C173" s="680" t="s">
        <v>800</v>
      </c>
      <c r="D173" s="648" t="s">
        <v>796</v>
      </c>
      <c r="E173" s="613"/>
      <c r="F173" s="614"/>
      <c r="G173" s="1127">
        <v>0.52631578947368418</v>
      </c>
      <c r="H173" s="893" t="s">
        <v>801</v>
      </c>
      <c r="I173" s="1372">
        <v>1</v>
      </c>
      <c r="J173" s="783">
        <v>44501</v>
      </c>
      <c r="K173" s="1333">
        <v>44530</v>
      </c>
      <c r="L173" s="902"/>
      <c r="M173" s="707"/>
      <c r="N173" s="707"/>
      <c r="O173" s="707"/>
      <c r="P173" s="707"/>
      <c r="Q173" s="707"/>
      <c r="R173" s="707"/>
      <c r="S173" s="707"/>
      <c r="T173" s="707"/>
      <c r="U173" s="707"/>
      <c r="V173" s="707">
        <v>100</v>
      </c>
      <c r="W173" s="861"/>
      <c r="X173" s="888">
        <f t="shared" si="37"/>
        <v>100</v>
      </c>
      <c r="Y173" s="663"/>
      <c r="Z173" s="20"/>
      <c r="AA173" s="20"/>
      <c r="AB173" s="20"/>
      <c r="AC173" s="20"/>
      <c r="AD173" s="20"/>
      <c r="AE173" s="20"/>
      <c r="AF173" s="20"/>
      <c r="AG173" s="20"/>
      <c r="AH173" s="20"/>
      <c r="AI173" s="20"/>
      <c r="AJ173" s="33"/>
      <c r="AK173" s="34"/>
    </row>
    <row r="174" spans="1:37" s="35" customFormat="1" ht="72" customHeight="1" x14ac:dyDescent="0.2">
      <c r="A174" s="1253" t="s">
        <v>1718</v>
      </c>
      <c r="B174" s="680" t="s">
        <v>802</v>
      </c>
      <c r="C174" s="680" t="s">
        <v>803</v>
      </c>
      <c r="D174" s="648" t="s">
        <v>796</v>
      </c>
      <c r="E174" s="613"/>
      <c r="F174" s="614"/>
      <c r="G174" s="1127">
        <v>0.52631578947368418</v>
      </c>
      <c r="H174" s="893" t="s">
        <v>804</v>
      </c>
      <c r="I174" s="1372">
        <v>1</v>
      </c>
      <c r="J174" s="783">
        <v>44256</v>
      </c>
      <c r="K174" s="1333">
        <v>44286</v>
      </c>
      <c r="L174" s="902"/>
      <c r="M174" s="707"/>
      <c r="N174" s="707">
        <v>100</v>
      </c>
      <c r="O174" s="707"/>
      <c r="P174" s="707"/>
      <c r="Q174" s="707"/>
      <c r="R174" s="707"/>
      <c r="S174" s="707"/>
      <c r="T174" s="707"/>
      <c r="U174" s="707"/>
      <c r="V174" s="707"/>
      <c r="W174" s="861"/>
      <c r="X174" s="888">
        <f t="shared" si="37"/>
        <v>100</v>
      </c>
      <c r="Y174" s="663"/>
      <c r="Z174" s="20"/>
      <c r="AA174" s="20"/>
      <c r="AB174" s="20"/>
      <c r="AC174" s="20"/>
      <c r="AD174" s="20"/>
      <c r="AE174" s="20"/>
      <c r="AF174" s="20"/>
      <c r="AG174" s="20"/>
      <c r="AH174" s="20"/>
      <c r="AI174" s="20"/>
      <c r="AJ174" s="33"/>
      <c r="AK174" s="34"/>
    </row>
    <row r="175" spans="1:37" s="35" customFormat="1" ht="76.5" customHeight="1" x14ac:dyDescent="0.2">
      <c r="A175" s="1253" t="s">
        <v>1719</v>
      </c>
      <c r="B175" s="670" t="s">
        <v>1911</v>
      </c>
      <c r="C175" s="671" t="s">
        <v>805</v>
      </c>
      <c r="D175" s="648" t="s">
        <v>796</v>
      </c>
      <c r="E175" s="613"/>
      <c r="F175" s="614"/>
      <c r="G175" s="1127">
        <v>0.52631578947368418</v>
      </c>
      <c r="H175" s="893" t="s">
        <v>804</v>
      </c>
      <c r="I175" s="1372">
        <v>1</v>
      </c>
      <c r="J175" s="783">
        <v>44348</v>
      </c>
      <c r="K175" s="1333">
        <v>44377</v>
      </c>
      <c r="L175" s="902"/>
      <c r="M175" s="707"/>
      <c r="N175" s="707"/>
      <c r="O175" s="707"/>
      <c r="P175" s="707"/>
      <c r="Q175" s="707">
        <v>100</v>
      </c>
      <c r="R175" s="707"/>
      <c r="S175" s="707"/>
      <c r="T175" s="707"/>
      <c r="U175" s="707"/>
      <c r="V175" s="707"/>
      <c r="W175" s="861"/>
      <c r="X175" s="888">
        <f t="shared" si="37"/>
        <v>100</v>
      </c>
      <c r="Y175" s="663"/>
      <c r="Z175" s="20"/>
      <c r="AA175" s="20"/>
      <c r="AB175" s="20"/>
      <c r="AC175" s="20"/>
      <c r="AD175" s="20"/>
      <c r="AE175" s="20"/>
      <c r="AF175" s="20"/>
      <c r="AG175" s="20"/>
      <c r="AH175" s="20"/>
      <c r="AI175" s="20"/>
      <c r="AJ175" s="33"/>
      <c r="AK175" s="34"/>
    </row>
    <row r="176" spans="1:37" s="35" customFormat="1" ht="78" customHeight="1" x14ac:dyDescent="0.2">
      <c r="A176" s="1253" t="s">
        <v>1720</v>
      </c>
      <c r="B176" s="670" t="s">
        <v>806</v>
      </c>
      <c r="C176" s="671" t="s">
        <v>1979</v>
      </c>
      <c r="D176" s="648" t="s">
        <v>796</v>
      </c>
      <c r="E176" s="613"/>
      <c r="F176" s="614"/>
      <c r="G176" s="1127">
        <v>0.52631578947368418</v>
      </c>
      <c r="H176" s="893" t="s">
        <v>804</v>
      </c>
      <c r="I176" s="1372">
        <v>1</v>
      </c>
      <c r="J176" s="783">
        <v>44348</v>
      </c>
      <c r="K176" s="1333">
        <v>44377</v>
      </c>
      <c r="L176" s="902"/>
      <c r="M176" s="707"/>
      <c r="N176" s="707"/>
      <c r="O176" s="707"/>
      <c r="P176" s="707"/>
      <c r="Q176" s="707">
        <v>100</v>
      </c>
      <c r="R176" s="707"/>
      <c r="S176" s="707"/>
      <c r="T176" s="707"/>
      <c r="U176" s="707"/>
      <c r="V176" s="707"/>
      <c r="W176" s="861"/>
      <c r="X176" s="888">
        <f t="shared" si="37"/>
        <v>100</v>
      </c>
      <c r="Y176" s="663"/>
      <c r="Z176" s="20"/>
      <c r="AA176" s="20"/>
      <c r="AB176" s="20"/>
      <c r="AC176" s="20"/>
      <c r="AD176" s="20"/>
      <c r="AE176" s="20"/>
      <c r="AF176" s="20"/>
      <c r="AG176" s="20"/>
      <c r="AH176" s="20"/>
      <c r="AI176" s="20"/>
      <c r="AJ176" s="33"/>
      <c r="AK176" s="34"/>
    </row>
    <row r="177" spans="1:37" s="35" customFormat="1" ht="60.75" customHeight="1" x14ac:dyDescent="0.2">
      <c r="A177" s="1253" t="s">
        <v>1721</v>
      </c>
      <c r="B177" s="670" t="s">
        <v>1895</v>
      </c>
      <c r="C177" s="671" t="s">
        <v>1980</v>
      </c>
      <c r="D177" s="648" t="s">
        <v>796</v>
      </c>
      <c r="E177" s="613"/>
      <c r="F177" s="614"/>
      <c r="G177" s="1127">
        <v>0.52631578947368418</v>
      </c>
      <c r="H177" s="894" t="s">
        <v>804</v>
      </c>
      <c r="I177" s="1372">
        <v>1</v>
      </c>
      <c r="J177" s="783">
        <v>44256</v>
      </c>
      <c r="K177" s="1333">
        <v>44286</v>
      </c>
      <c r="L177" s="902"/>
      <c r="M177" s="707"/>
      <c r="N177" s="707">
        <v>100</v>
      </c>
      <c r="O177" s="707"/>
      <c r="P177" s="707"/>
      <c r="Q177" s="707"/>
      <c r="R177" s="707"/>
      <c r="S177" s="707"/>
      <c r="T177" s="707"/>
      <c r="U177" s="707"/>
      <c r="V177" s="707"/>
      <c r="W177" s="861"/>
      <c r="X177" s="888">
        <f t="shared" si="37"/>
        <v>100</v>
      </c>
      <c r="Y177" s="663"/>
      <c r="Z177" s="20"/>
      <c r="AA177" s="20"/>
      <c r="AB177" s="20"/>
      <c r="AC177" s="20"/>
      <c r="AD177" s="20"/>
      <c r="AE177" s="20"/>
      <c r="AF177" s="20"/>
      <c r="AG177" s="20"/>
      <c r="AH177" s="20"/>
      <c r="AI177" s="20"/>
      <c r="AJ177" s="33"/>
      <c r="AK177" s="34"/>
    </row>
    <row r="178" spans="1:37" s="35" customFormat="1" ht="79.5" customHeight="1" x14ac:dyDescent="0.2">
      <c r="A178" s="1253" t="s">
        <v>1722</v>
      </c>
      <c r="B178" s="637" t="s">
        <v>1923</v>
      </c>
      <c r="C178" s="671" t="s">
        <v>1922</v>
      </c>
      <c r="D178" s="648" t="s">
        <v>796</v>
      </c>
      <c r="E178" s="615"/>
      <c r="F178" s="616"/>
      <c r="G178" s="1127">
        <v>0.52631578947368418</v>
      </c>
      <c r="H178" s="894" t="s">
        <v>804</v>
      </c>
      <c r="I178" s="1372">
        <v>1</v>
      </c>
      <c r="J178" s="783">
        <v>44256</v>
      </c>
      <c r="K178" s="1333">
        <v>44286</v>
      </c>
      <c r="L178" s="902"/>
      <c r="M178" s="707"/>
      <c r="N178" s="707">
        <v>100</v>
      </c>
      <c r="O178" s="707"/>
      <c r="P178" s="707"/>
      <c r="Q178" s="707"/>
      <c r="R178" s="707"/>
      <c r="S178" s="707"/>
      <c r="T178" s="707"/>
      <c r="U178" s="707"/>
      <c r="V178" s="707"/>
      <c r="W178" s="861"/>
      <c r="X178" s="888">
        <f t="shared" si="37"/>
        <v>100</v>
      </c>
      <c r="Y178" s="663"/>
      <c r="Z178" s="20"/>
      <c r="AA178" s="20"/>
      <c r="AB178" s="20"/>
      <c r="AC178" s="20"/>
      <c r="AD178" s="20"/>
      <c r="AE178" s="20"/>
      <c r="AF178" s="20"/>
      <c r="AG178" s="20"/>
      <c r="AH178" s="20"/>
      <c r="AI178" s="20"/>
      <c r="AJ178" s="33"/>
      <c r="AK178" s="34"/>
    </row>
    <row r="179" spans="1:37" s="35" customFormat="1" ht="75" customHeight="1" x14ac:dyDescent="0.2">
      <c r="A179" s="1253" t="s">
        <v>1723</v>
      </c>
      <c r="B179" s="637" t="s">
        <v>1921</v>
      </c>
      <c r="C179" s="671" t="s">
        <v>1924</v>
      </c>
      <c r="D179" s="648" t="s">
        <v>796</v>
      </c>
      <c r="E179" s="615"/>
      <c r="F179" s="616"/>
      <c r="G179" s="1127">
        <v>0.52631578947368418</v>
      </c>
      <c r="H179" s="894" t="s">
        <v>804</v>
      </c>
      <c r="I179" s="1372">
        <v>1</v>
      </c>
      <c r="J179" s="783">
        <v>44256</v>
      </c>
      <c r="K179" s="1333">
        <v>44286</v>
      </c>
      <c r="L179" s="902"/>
      <c r="M179" s="707"/>
      <c r="N179" s="707">
        <v>100</v>
      </c>
      <c r="O179" s="707"/>
      <c r="P179" s="707"/>
      <c r="Q179" s="707"/>
      <c r="R179" s="707"/>
      <c r="S179" s="707"/>
      <c r="T179" s="707"/>
      <c r="U179" s="707"/>
      <c r="V179" s="707"/>
      <c r="W179" s="861"/>
      <c r="X179" s="888">
        <f t="shared" si="37"/>
        <v>100</v>
      </c>
      <c r="Y179" s="663"/>
      <c r="Z179" s="20"/>
      <c r="AA179" s="20"/>
      <c r="AB179" s="20"/>
      <c r="AC179" s="20"/>
      <c r="AD179" s="20"/>
      <c r="AE179" s="20"/>
      <c r="AF179" s="20"/>
      <c r="AG179" s="20"/>
      <c r="AH179" s="20"/>
      <c r="AI179" s="20"/>
      <c r="AJ179" s="33"/>
      <c r="AK179" s="34"/>
    </row>
    <row r="180" spans="1:37" s="35" customFormat="1" ht="60" customHeight="1" x14ac:dyDescent="0.2">
      <c r="A180" s="1253" t="s">
        <v>1724</v>
      </c>
      <c r="B180" s="670" t="s">
        <v>1917</v>
      </c>
      <c r="C180" s="671" t="s">
        <v>807</v>
      </c>
      <c r="D180" s="648" t="s">
        <v>796</v>
      </c>
      <c r="E180" s="615"/>
      <c r="F180" s="616"/>
      <c r="G180" s="1127">
        <v>0.52631578947368418</v>
      </c>
      <c r="H180" s="893" t="s">
        <v>804</v>
      </c>
      <c r="I180" s="1372">
        <v>1</v>
      </c>
      <c r="J180" s="783">
        <v>44256</v>
      </c>
      <c r="K180" s="1333">
        <v>44286</v>
      </c>
      <c r="L180" s="902"/>
      <c r="M180" s="707"/>
      <c r="N180" s="707">
        <v>100</v>
      </c>
      <c r="O180" s="707"/>
      <c r="P180" s="707"/>
      <c r="Q180" s="707"/>
      <c r="R180" s="707"/>
      <c r="S180" s="707"/>
      <c r="T180" s="707"/>
      <c r="U180" s="707"/>
      <c r="V180" s="707"/>
      <c r="W180" s="861"/>
      <c r="X180" s="888">
        <f t="shared" si="37"/>
        <v>100</v>
      </c>
      <c r="Y180" s="663"/>
      <c r="Z180" s="20"/>
      <c r="AA180" s="20"/>
      <c r="AB180" s="20"/>
      <c r="AC180" s="20"/>
      <c r="AD180" s="20"/>
      <c r="AE180" s="20"/>
      <c r="AF180" s="20"/>
      <c r="AG180" s="20"/>
      <c r="AH180" s="20"/>
      <c r="AI180" s="20"/>
      <c r="AJ180" s="33"/>
      <c r="AK180" s="34"/>
    </row>
    <row r="181" spans="1:37" s="35" customFormat="1" ht="57.75" customHeight="1" x14ac:dyDescent="0.2">
      <c r="A181" s="1253" t="s">
        <v>1725</v>
      </c>
      <c r="B181" s="681" t="s">
        <v>808</v>
      </c>
      <c r="C181" s="681" t="s">
        <v>809</v>
      </c>
      <c r="D181" s="648" t="s">
        <v>810</v>
      </c>
      <c r="E181" s="613"/>
      <c r="F181" s="614"/>
      <c r="G181" s="1127">
        <v>0.52631578947368418</v>
      </c>
      <c r="H181" s="895" t="s">
        <v>746</v>
      </c>
      <c r="I181" s="1379">
        <v>1</v>
      </c>
      <c r="J181" s="783">
        <v>44200</v>
      </c>
      <c r="K181" s="934">
        <v>44225</v>
      </c>
      <c r="L181" s="902">
        <v>100</v>
      </c>
      <c r="M181" s="707"/>
      <c r="N181" s="707"/>
      <c r="O181" s="707"/>
      <c r="P181" s="707"/>
      <c r="Q181" s="707"/>
      <c r="R181" s="707"/>
      <c r="S181" s="707"/>
      <c r="T181" s="707"/>
      <c r="U181" s="707"/>
      <c r="V181" s="707"/>
      <c r="W181" s="861"/>
      <c r="X181" s="888">
        <f t="shared" si="37"/>
        <v>100</v>
      </c>
      <c r="Y181" s="663"/>
      <c r="Z181" s="20"/>
      <c r="AA181" s="20"/>
      <c r="AB181" s="20"/>
      <c r="AC181" s="20"/>
      <c r="AD181" s="20"/>
      <c r="AE181" s="20"/>
      <c r="AF181" s="20"/>
      <c r="AG181" s="20"/>
      <c r="AH181" s="20"/>
      <c r="AI181" s="20"/>
      <c r="AJ181" s="33"/>
      <c r="AK181" s="34"/>
    </row>
    <row r="182" spans="1:37" s="35" customFormat="1" ht="72" customHeight="1" x14ac:dyDescent="0.2">
      <c r="A182" s="1253" t="s">
        <v>1726</v>
      </c>
      <c r="B182" s="681" t="s">
        <v>1910</v>
      </c>
      <c r="C182" s="681" t="s">
        <v>811</v>
      </c>
      <c r="D182" s="648" t="s">
        <v>810</v>
      </c>
      <c r="E182" s="613"/>
      <c r="F182" s="614"/>
      <c r="G182" s="1127">
        <v>0.52631578947368418</v>
      </c>
      <c r="H182" s="895" t="s">
        <v>684</v>
      </c>
      <c r="I182" s="1379">
        <v>1</v>
      </c>
      <c r="J182" s="783">
        <v>44287</v>
      </c>
      <c r="K182" s="934">
        <v>44316</v>
      </c>
      <c r="L182" s="902"/>
      <c r="M182" s="707"/>
      <c r="N182" s="707"/>
      <c r="O182" s="707">
        <v>100</v>
      </c>
      <c r="P182" s="707"/>
      <c r="Q182" s="707"/>
      <c r="R182" s="707"/>
      <c r="S182" s="707"/>
      <c r="T182" s="707"/>
      <c r="U182" s="707"/>
      <c r="V182" s="707"/>
      <c r="W182" s="861"/>
      <c r="X182" s="888">
        <f t="shared" si="37"/>
        <v>100</v>
      </c>
      <c r="Y182" s="663"/>
      <c r="Z182" s="20"/>
      <c r="AA182" s="20"/>
      <c r="AB182" s="20"/>
      <c r="AC182" s="20"/>
      <c r="AD182" s="20"/>
      <c r="AE182" s="20"/>
      <c r="AF182" s="20"/>
      <c r="AG182" s="20"/>
      <c r="AH182" s="20"/>
      <c r="AI182" s="20"/>
      <c r="AJ182" s="33"/>
      <c r="AK182" s="34"/>
    </row>
    <row r="183" spans="1:37" s="35" customFormat="1" ht="72" customHeight="1" x14ac:dyDescent="0.2">
      <c r="A183" s="1253" t="s">
        <v>1727</v>
      </c>
      <c r="B183" s="681" t="s">
        <v>1909</v>
      </c>
      <c r="C183" s="681" t="s">
        <v>812</v>
      </c>
      <c r="D183" s="648" t="s">
        <v>810</v>
      </c>
      <c r="E183" s="613"/>
      <c r="F183" s="614"/>
      <c r="G183" s="1127">
        <v>0.52631578947368418</v>
      </c>
      <c r="H183" s="895" t="s">
        <v>684</v>
      </c>
      <c r="I183" s="1379">
        <v>1</v>
      </c>
      <c r="J183" s="783">
        <v>44256</v>
      </c>
      <c r="K183" s="934">
        <v>44286</v>
      </c>
      <c r="L183" s="902"/>
      <c r="M183" s="707"/>
      <c r="N183" s="707">
        <v>100</v>
      </c>
      <c r="O183" s="707"/>
      <c r="P183" s="707"/>
      <c r="Q183" s="707"/>
      <c r="R183" s="707"/>
      <c r="S183" s="707"/>
      <c r="T183" s="707"/>
      <c r="U183" s="707"/>
      <c r="V183" s="707"/>
      <c r="W183" s="861"/>
      <c r="X183" s="888">
        <f t="shared" si="37"/>
        <v>100</v>
      </c>
      <c r="Y183" s="663"/>
      <c r="Z183" s="20"/>
      <c r="AA183" s="20"/>
      <c r="AB183" s="20"/>
      <c r="AC183" s="20"/>
      <c r="AD183" s="20"/>
      <c r="AE183" s="20"/>
      <c r="AF183" s="20"/>
      <c r="AG183" s="20"/>
      <c r="AH183" s="20"/>
      <c r="AI183" s="20"/>
      <c r="AJ183" s="33"/>
      <c r="AK183" s="34"/>
    </row>
    <row r="184" spans="1:37" s="35" customFormat="1" ht="72" customHeight="1" x14ac:dyDescent="0.2">
      <c r="A184" s="1253" t="s">
        <v>1728</v>
      </c>
      <c r="B184" s="681" t="s">
        <v>1916</v>
      </c>
      <c r="C184" s="681" t="s">
        <v>813</v>
      </c>
      <c r="D184" s="648" t="s">
        <v>810</v>
      </c>
      <c r="E184" s="613"/>
      <c r="F184" s="614"/>
      <c r="G184" s="1127">
        <v>0.52631578947368418</v>
      </c>
      <c r="H184" s="895" t="s">
        <v>684</v>
      </c>
      <c r="I184" s="1379">
        <v>1</v>
      </c>
      <c r="J184" s="783">
        <v>44319</v>
      </c>
      <c r="K184" s="934">
        <v>44347</v>
      </c>
      <c r="L184" s="902"/>
      <c r="M184" s="707"/>
      <c r="N184" s="693"/>
      <c r="O184" s="693"/>
      <c r="P184" s="707">
        <v>100</v>
      </c>
      <c r="Q184" s="707"/>
      <c r="R184" s="707"/>
      <c r="S184" s="707"/>
      <c r="T184" s="707"/>
      <c r="U184" s="707"/>
      <c r="V184" s="707"/>
      <c r="W184" s="861"/>
      <c r="X184" s="888">
        <f t="shared" si="37"/>
        <v>100</v>
      </c>
      <c r="Y184" s="663"/>
      <c r="Z184" s="20"/>
      <c r="AA184" s="20"/>
      <c r="AB184" s="20"/>
      <c r="AC184" s="20"/>
      <c r="AD184" s="20"/>
      <c r="AE184" s="20"/>
      <c r="AF184" s="20"/>
      <c r="AG184" s="20"/>
      <c r="AH184" s="20"/>
      <c r="AI184" s="20"/>
      <c r="AJ184" s="33"/>
      <c r="AK184" s="34"/>
    </row>
    <row r="185" spans="1:37" s="35" customFormat="1" ht="92.25" customHeight="1" x14ac:dyDescent="0.2">
      <c r="A185" s="1253" t="s">
        <v>1729</v>
      </c>
      <c r="B185" s="681" t="s">
        <v>1908</v>
      </c>
      <c r="C185" s="681" t="s">
        <v>1349</v>
      </c>
      <c r="D185" s="648" t="s">
        <v>810</v>
      </c>
      <c r="E185" s="613"/>
      <c r="F185" s="614"/>
      <c r="G185" s="1127">
        <v>0.52631578947368418</v>
      </c>
      <c r="H185" s="895" t="s">
        <v>684</v>
      </c>
      <c r="I185" s="1379">
        <v>1</v>
      </c>
      <c r="J185" s="783">
        <v>44378</v>
      </c>
      <c r="K185" s="934">
        <v>44407</v>
      </c>
      <c r="L185" s="902"/>
      <c r="M185" s="707"/>
      <c r="N185" s="693"/>
      <c r="O185" s="693"/>
      <c r="P185" s="707"/>
      <c r="Q185" s="707"/>
      <c r="R185" s="707">
        <v>100</v>
      </c>
      <c r="S185" s="707"/>
      <c r="T185" s="707"/>
      <c r="U185" s="707"/>
      <c r="V185" s="707"/>
      <c r="W185" s="861"/>
      <c r="X185" s="888">
        <f t="shared" si="37"/>
        <v>100</v>
      </c>
      <c r="Y185" s="663"/>
      <c r="Z185" s="20"/>
      <c r="AA185" s="20"/>
      <c r="AB185" s="20"/>
      <c r="AC185" s="20"/>
      <c r="AD185" s="20"/>
      <c r="AE185" s="20"/>
      <c r="AF185" s="20"/>
      <c r="AG185" s="20"/>
      <c r="AH185" s="20"/>
      <c r="AI185" s="20"/>
      <c r="AJ185" s="33"/>
      <c r="AK185" s="34"/>
    </row>
    <row r="186" spans="1:37" s="35" customFormat="1" ht="78" customHeight="1" x14ac:dyDescent="0.2">
      <c r="A186" s="1253" t="s">
        <v>1730</v>
      </c>
      <c r="B186" s="681" t="s">
        <v>1907</v>
      </c>
      <c r="C186" s="681" t="s">
        <v>814</v>
      </c>
      <c r="D186" s="648" t="s">
        <v>810</v>
      </c>
      <c r="E186" s="613"/>
      <c r="F186" s="614"/>
      <c r="G186" s="1127">
        <v>0.52631578947368418</v>
      </c>
      <c r="H186" s="895" t="s">
        <v>684</v>
      </c>
      <c r="I186" s="1379">
        <v>1</v>
      </c>
      <c r="J186" s="783">
        <v>44348</v>
      </c>
      <c r="K186" s="934">
        <v>44377</v>
      </c>
      <c r="L186" s="902"/>
      <c r="M186" s="707"/>
      <c r="N186" s="693"/>
      <c r="O186" s="693"/>
      <c r="P186" s="707"/>
      <c r="Q186" s="707">
        <v>100</v>
      </c>
      <c r="R186" s="707"/>
      <c r="S186" s="707"/>
      <c r="T186" s="707"/>
      <c r="U186" s="707"/>
      <c r="V186" s="707"/>
      <c r="W186" s="861"/>
      <c r="X186" s="888">
        <f t="shared" si="37"/>
        <v>100</v>
      </c>
      <c r="Y186" s="663"/>
      <c r="Z186" s="20"/>
      <c r="AA186" s="20"/>
      <c r="AB186" s="20"/>
      <c r="AC186" s="20"/>
      <c r="AD186" s="20"/>
      <c r="AE186" s="20"/>
      <c r="AF186" s="20"/>
      <c r="AG186" s="20"/>
      <c r="AH186" s="20"/>
      <c r="AI186" s="20"/>
      <c r="AJ186" s="33"/>
      <c r="AK186" s="34"/>
    </row>
    <row r="187" spans="1:37" s="35" customFormat="1" ht="63.75" customHeight="1" x14ac:dyDescent="0.2">
      <c r="A187" s="1253" t="s">
        <v>1731</v>
      </c>
      <c r="B187" s="681" t="s">
        <v>1906</v>
      </c>
      <c r="C187" s="681" t="s">
        <v>815</v>
      </c>
      <c r="D187" s="648" t="s">
        <v>810</v>
      </c>
      <c r="E187" s="613"/>
      <c r="F187" s="614"/>
      <c r="G187" s="1127">
        <v>0.52631578947368418</v>
      </c>
      <c r="H187" s="895" t="s">
        <v>684</v>
      </c>
      <c r="I187" s="1379">
        <v>1</v>
      </c>
      <c r="J187" s="783">
        <v>44256</v>
      </c>
      <c r="K187" s="934">
        <v>44286</v>
      </c>
      <c r="L187" s="902"/>
      <c r="M187" s="707"/>
      <c r="N187" s="693">
        <v>100</v>
      </c>
      <c r="O187" s="693"/>
      <c r="P187" s="707"/>
      <c r="Q187" s="707"/>
      <c r="R187" s="707"/>
      <c r="S187" s="707"/>
      <c r="T187" s="707"/>
      <c r="U187" s="707"/>
      <c r="V187" s="707"/>
      <c r="W187" s="861"/>
      <c r="X187" s="888">
        <f t="shared" si="37"/>
        <v>100</v>
      </c>
      <c r="Y187" s="663"/>
      <c r="Z187" s="20"/>
      <c r="AA187" s="20"/>
      <c r="AB187" s="20"/>
      <c r="AC187" s="20"/>
      <c r="AD187" s="20"/>
      <c r="AE187" s="20"/>
      <c r="AF187" s="20"/>
      <c r="AG187" s="20"/>
      <c r="AH187" s="20"/>
      <c r="AI187" s="20"/>
      <c r="AJ187" s="33"/>
      <c r="AK187" s="34"/>
    </row>
    <row r="188" spans="1:37" s="35" customFormat="1" ht="67.5" customHeight="1" x14ac:dyDescent="0.2">
      <c r="A188" s="1253" t="s">
        <v>1732</v>
      </c>
      <c r="B188" s="681" t="s">
        <v>1905</v>
      </c>
      <c r="C188" s="681" t="s">
        <v>816</v>
      </c>
      <c r="D188" s="648" t="s">
        <v>810</v>
      </c>
      <c r="E188" s="613"/>
      <c r="F188" s="614"/>
      <c r="G188" s="1127">
        <v>0.52631578947368418</v>
      </c>
      <c r="H188" s="895" t="s">
        <v>684</v>
      </c>
      <c r="I188" s="1379">
        <v>1</v>
      </c>
      <c r="J188" s="783">
        <v>44256</v>
      </c>
      <c r="K188" s="934">
        <v>44286</v>
      </c>
      <c r="L188" s="902"/>
      <c r="M188" s="707"/>
      <c r="N188" s="693">
        <v>100</v>
      </c>
      <c r="O188" s="693"/>
      <c r="P188" s="707"/>
      <c r="Q188" s="707"/>
      <c r="R188" s="707"/>
      <c r="S188" s="707"/>
      <c r="T188" s="707"/>
      <c r="U188" s="707"/>
      <c r="V188" s="707"/>
      <c r="W188" s="861"/>
      <c r="X188" s="888">
        <f t="shared" si="37"/>
        <v>100</v>
      </c>
      <c r="Y188" s="663"/>
      <c r="Z188" s="20"/>
      <c r="AA188" s="20"/>
      <c r="AB188" s="20"/>
      <c r="AC188" s="20"/>
      <c r="AD188" s="20"/>
      <c r="AE188" s="20"/>
      <c r="AF188" s="20"/>
      <c r="AG188" s="20"/>
      <c r="AH188" s="20"/>
      <c r="AI188" s="20"/>
      <c r="AJ188" s="33"/>
      <c r="AK188" s="34"/>
    </row>
    <row r="189" spans="1:37" s="35" customFormat="1" ht="65.25" customHeight="1" x14ac:dyDescent="0.2">
      <c r="A189" s="1253" t="s">
        <v>1733</v>
      </c>
      <c r="B189" s="681" t="s">
        <v>817</v>
      </c>
      <c r="C189" s="681" t="s">
        <v>818</v>
      </c>
      <c r="D189" s="648" t="s">
        <v>810</v>
      </c>
      <c r="E189" s="613"/>
      <c r="F189" s="614"/>
      <c r="G189" s="1127">
        <v>0.52631578947368418</v>
      </c>
      <c r="H189" s="895" t="s">
        <v>684</v>
      </c>
      <c r="I189" s="1379">
        <v>4</v>
      </c>
      <c r="J189" s="783">
        <v>44200</v>
      </c>
      <c r="K189" s="934">
        <v>44225</v>
      </c>
      <c r="L189" s="902">
        <v>100</v>
      </c>
      <c r="M189" s="707"/>
      <c r="N189" s="693"/>
      <c r="O189" s="693"/>
      <c r="P189" s="707"/>
      <c r="Q189" s="707"/>
      <c r="R189" s="707"/>
      <c r="S189" s="707"/>
      <c r="T189" s="707"/>
      <c r="U189" s="707"/>
      <c r="V189" s="707"/>
      <c r="W189" s="861"/>
      <c r="X189" s="888">
        <f t="shared" si="37"/>
        <v>100</v>
      </c>
      <c r="Y189" s="663"/>
      <c r="Z189" s="20"/>
      <c r="AA189" s="20"/>
      <c r="AB189" s="20"/>
      <c r="AC189" s="20"/>
      <c r="AD189" s="20"/>
      <c r="AE189" s="20"/>
      <c r="AF189" s="20"/>
      <c r="AG189" s="20"/>
      <c r="AH189" s="20"/>
      <c r="AI189" s="20"/>
      <c r="AJ189" s="33"/>
      <c r="AK189" s="34"/>
    </row>
    <row r="190" spans="1:37" s="35" customFormat="1" ht="63.75" customHeight="1" x14ac:dyDescent="0.2">
      <c r="A190" s="1253" t="s">
        <v>1734</v>
      </c>
      <c r="B190" s="681" t="s">
        <v>819</v>
      </c>
      <c r="C190" s="681" t="s">
        <v>820</v>
      </c>
      <c r="D190" s="648" t="s">
        <v>810</v>
      </c>
      <c r="E190" s="613"/>
      <c r="F190" s="614"/>
      <c r="G190" s="1127">
        <v>0.52631578947368418</v>
      </c>
      <c r="H190" s="895" t="s">
        <v>821</v>
      </c>
      <c r="I190" s="1379">
        <v>12</v>
      </c>
      <c r="J190" s="783">
        <v>44200</v>
      </c>
      <c r="K190" s="934">
        <v>44561</v>
      </c>
      <c r="L190" s="902">
        <v>8.33</v>
      </c>
      <c r="M190" s="707">
        <v>8.33</v>
      </c>
      <c r="N190" s="693">
        <v>8.33</v>
      </c>
      <c r="O190" s="693">
        <v>8.33</v>
      </c>
      <c r="P190" s="707">
        <v>8.33</v>
      </c>
      <c r="Q190" s="707">
        <v>8.33</v>
      </c>
      <c r="R190" s="707">
        <v>8.33</v>
      </c>
      <c r="S190" s="707">
        <v>8.33</v>
      </c>
      <c r="T190" s="707">
        <v>8.33</v>
      </c>
      <c r="U190" s="707">
        <v>8.33</v>
      </c>
      <c r="V190" s="707">
        <v>8.33</v>
      </c>
      <c r="W190" s="861">
        <v>8.33</v>
      </c>
      <c r="X190" s="888">
        <f t="shared" si="37"/>
        <v>99.96</v>
      </c>
      <c r="Y190" s="663"/>
      <c r="Z190" s="20"/>
      <c r="AA190" s="20"/>
      <c r="AB190" s="20"/>
      <c r="AC190" s="20"/>
      <c r="AD190" s="20"/>
      <c r="AE190" s="20"/>
      <c r="AF190" s="20"/>
      <c r="AG190" s="20"/>
      <c r="AH190" s="20"/>
      <c r="AI190" s="20"/>
      <c r="AJ190" s="33"/>
      <c r="AK190" s="34"/>
    </row>
    <row r="191" spans="1:37" s="35" customFormat="1" ht="82.5" customHeight="1" x14ac:dyDescent="0.2">
      <c r="A191" s="1253" t="s">
        <v>1735</v>
      </c>
      <c r="B191" s="680" t="s">
        <v>1903</v>
      </c>
      <c r="C191" s="680" t="s">
        <v>822</v>
      </c>
      <c r="D191" s="734" t="s">
        <v>823</v>
      </c>
      <c r="E191" s="617"/>
      <c r="F191" s="618"/>
      <c r="G191" s="1127">
        <v>0.52631578947368418</v>
      </c>
      <c r="H191" s="658" t="s">
        <v>824</v>
      </c>
      <c r="I191" s="1372">
        <v>2</v>
      </c>
      <c r="J191" s="1334">
        <v>44228</v>
      </c>
      <c r="K191" s="1335">
        <v>44377</v>
      </c>
      <c r="L191" s="910"/>
      <c r="M191" s="717">
        <v>50</v>
      </c>
      <c r="N191" s="717"/>
      <c r="O191" s="717"/>
      <c r="P191" s="717"/>
      <c r="Q191" s="717">
        <v>50</v>
      </c>
      <c r="R191" s="717"/>
      <c r="S191" s="717"/>
      <c r="T191" s="717"/>
      <c r="U191" s="717"/>
      <c r="V191" s="717"/>
      <c r="W191" s="868"/>
      <c r="X191" s="888">
        <f t="shared" si="37"/>
        <v>100</v>
      </c>
      <c r="Y191" s="663"/>
      <c r="Z191" s="20"/>
      <c r="AA191" s="20"/>
      <c r="AB191" s="20"/>
      <c r="AC191" s="20"/>
      <c r="AD191" s="20"/>
      <c r="AE191" s="20"/>
      <c r="AF191" s="20"/>
      <c r="AG191" s="20"/>
      <c r="AH191" s="20"/>
      <c r="AI191" s="20"/>
      <c r="AJ191" s="33"/>
      <c r="AK191" s="34"/>
    </row>
    <row r="192" spans="1:37" s="35" customFormat="1" ht="79.5" customHeight="1" x14ac:dyDescent="0.2">
      <c r="A192" s="1253" t="s">
        <v>1736</v>
      </c>
      <c r="B192" s="680" t="s">
        <v>1904</v>
      </c>
      <c r="C192" s="680" t="s">
        <v>825</v>
      </c>
      <c r="D192" s="734" t="s">
        <v>823</v>
      </c>
      <c r="E192" s="617"/>
      <c r="F192" s="618"/>
      <c r="G192" s="1127">
        <v>0.52631578947368418</v>
      </c>
      <c r="H192" s="658" t="s">
        <v>824</v>
      </c>
      <c r="I192" s="1372">
        <v>1</v>
      </c>
      <c r="J192" s="1334">
        <v>44228</v>
      </c>
      <c r="K192" s="1335">
        <v>44253</v>
      </c>
      <c r="L192" s="910"/>
      <c r="M192" s="717">
        <v>100</v>
      </c>
      <c r="N192" s="717"/>
      <c r="O192" s="717"/>
      <c r="P192" s="717"/>
      <c r="Q192" s="717"/>
      <c r="R192" s="717"/>
      <c r="S192" s="717"/>
      <c r="T192" s="717"/>
      <c r="U192" s="717"/>
      <c r="V192" s="717"/>
      <c r="W192" s="868"/>
      <c r="X192" s="888">
        <f t="shared" si="37"/>
        <v>100</v>
      </c>
      <c r="Y192" s="663"/>
      <c r="Z192" s="20"/>
      <c r="AA192" s="20"/>
      <c r="AB192" s="20"/>
      <c r="AC192" s="20"/>
      <c r="AD192" s="20"/>
      <c r="AE192" s="20"/>
      <c r="AF192" s="20"/>
      <c r="AG192" s="20"/>
      <c r="AH192" s="20"/>
      <c r="AI192" s="20"/>
      <c r="AJ192" s="33"/>
      <c r="AK192" s="34"/>
    </row>
    <row r="193" spans="1:37" s="35" customFormat="1" ht="74.25" customHeight="1" x14ac:dyDescent="0.2">
      <c r="A193" s="1253" t="s">
        <v>1737</v>
      </c>
      <c r="B193" s="680" t="s">
        <v>1902</v>
      </c>
      <c r="C193" s="680" t="s">
        <v>826</v>
      </c>
      <c r="D193" s="734" t="s">
        <v>823</v>
      </c>
      <c r="E193" s="617"/>
      <c r="F193" s="618"/>
      <c r="G193" s="1127">
        <v>0.52631578947368418</v>
      </c>
      <c r="H193" s="658" t="s">
        <v>824</v>
      </c>
      <c r="I193" s="1372">
        <v>2</v>
      </c>
      <c r="J193" s="1334">
        <v>44228</v>
      </c>
      <c r="K193" s="1335">
        <v>44377</v>
      </c>
      <c r="L193" s="910"/>
      <c r="M193" s="717">
        <v>50</v>
      </c>
      <c r="N193" s="717"/>
      <c r="O193" s="717"/>
      <c r="P193" s="717"/>
      <c r="Q193" s="717">
        <v>50</v>
      </c>
      <c r="R193" s="717"/>
      <c r="S193" s="717"/>
      <c r="T193" s="717"/>
      <c r="U193" s="717"/>
      <c r="V193" s="717"/>
      <c r="W193" s="868"/>
      <c r="X193" s="888">
        <f t="shared" si="37"/>
        <v>100</v>
      </c>
      <c r="Y193" s="663"/>
      <c r="Z193" s="20"/>
      <c r="AA193" s="20"/>
      <c r="AB193" s="20"/>
      <c r="AC193" s="20"/>
      <c r="AD193" s="20"/>
      <c r="AE193" s="20"/>
      <c r="AF193" s="20"/>
      <c r="AG193" s="20"/>
      <c r="AH193" s="20"/>
      <c r="AI193" s="20"/>
      <c r="AJ193" s="33"/>
      <c r="AK193" s="34"/>
    </row>
    <row r="194" spans="1:37" s="35" customFormat="1" ht="70.5" customHeight="1" x14ac:dyDescent="0.2">
      <c r="A194" s="1253" t="s">
        <v>1738</v>
      </c>
      <c r="B194" s="680" t="s">
        <v>1915</v>
      </c>
      <c r="C194" s="680" t="s">
        <v>827</v>
      </c>
      <c r="D194" s="734" t="s">
        <v>823</v>
      </c>
      <c r="E194" s="617"/>
      <c r="F194" s="618"/>
      <c r="G194" s="1127">
        <v>0.52631578947368418</v>
      </c>
      <c r="H194" s="658" t="s">
        <v>824</v>
      </c>
      <c r="I194" s="1372">
        <v>1</v>
      </c>
      <c r="J194" s="1334">
        <v>44256</v>
      </c>
      <c r="K194" s="1335">
        <v>44286</v>
      </c>
      <c r="L194" s="910"/>
      <c r="M194" s="717"/>
      <c r="N194" s="717">
        <v>100</v>
      </c>
      <c r="O194" s="717"/>
      <c r="P194" s="717"/>
      <c r="Q194" s="717"/>
      <c r="R194" s="717"/>
      <c r="S194" s="717"/>
      <c r="T194" s="717"/>
      <c r="U194" s="717"/>
      <c r="V194" s="717"/>
      <c r="W194" s="868"/>
      <c r="X194" s="888">
        <f t="shared" si="37"/>
        <v>100</v>
      </c>
      <c r="Y194" s="663"/>
      <c r="Z194" s="20"/>
      <c r="AA194" s="20"/>
      <c r="AB194" s="20"/>
      <c r="AC194" s="20"/>
      <c r="AD194" s="20"/>
      <c r="AE194" s="20"/>
      <c r="AF194" s="20"/>
      <c r="AG194" s="20"/>
      <c r="AH194" s="20"/>
      <c r="AI194" s="20"/>
      <c r="AJ194" s="33"/>
      <c r="AK194" s="34"/>
    </row>
    <row r="195" spans="1:37" s="35" customFormat="1" ht="70.5" customHeight="1" x14ac:dyDescent="0.2">
      <c r="A195" s="1253" t="s">
        <v>1739</v>
      </c>
      <c r="B195" s="680" t="s">
        <v>1901</v>
      </c>
      <c r="C195" s="680" t="s">
        <v>827</v>
      </c>
      <c r="D195" s="734" t="s">
        <v>823</v>
      </c>
      <c r="E195" s="617"/>
      <c r="F195" s="618"/>
      <c r="G195" s="1127">
        <v>0.52631578947368418</v>
      </c>
      <c r="H195" s="658" t="s">
        <v>824</v>
      </c>
      <c r="I195" s="1372">
        <v>1</v>
      </c>
      <c r="J195" s="1334">
        <v>44228</v>
      </c>
      <c r="K195" s="1335">
        <v>44253</v>
      </c>
      <c r="L195" s="910"/>
      <c r="M195" s="717">
        <v>100</v>
      </c>
      <c r="N195" s="717"/>
      <c r="O195" s="717"/>
      <c r="P195" s="717"/>
      <c r="Q195" s="717"/>
      <c r="R195" s="717"/>
      <c r="S195" s="717"/>
      <c r="T195" s="717"/>
      <c r="U195" s="717"/>
      <c r="V195" s="717"/>
      <c r="W195" s="868"/>
      <c r="X195" s="888">
        <f t="shared" si="37"/>
        <v>100</v>
      </c>
      <c r="Y195" s="663"/>
      <c r="Z195" s="20"/>
      <c r="AA195" s="20"/>
      <c r="AB195" s="20"/>
      <c r="AC195" s="20"/>
      <c r="AD195" s="20"/>
      <c r="AE195" s="20"/>
      <c r="AF195" s="20"/>
      <c r="AG195" s="20"/>
      <c r="AH195" s="20"/>
      <c r="AI195" s="20"/>
      <c r="AJ195" s="33"/>
      <c r="AK195" s="34"/>
    </row>
    <row r="196" spans="1:37" s="35" customFormat="1" ht="73.5" customHeight="1" x14ac:dyDescent="0.2">
      <c r="A196" s="1253" t="s">
        <v>1740</v>
      </c>
      <c r="B196" s="680" t="s">
        <v>828</v>
      </c>
      <c r="C196" s="680" t="s">
        <v>829</v>
      </c>
      <c r="D196" s="734" t="s">
        <v>823</v>
      </c>
      <c r="E196" s="617"/>
      <c r="F196" s="618"/>
      <c r="G196" s="1127">
        <v>0.52631578947368418</v>
      </c>
      <c r="H196" s="658" t="s">
        <v>830</v>
      </c>
      <c r="I196" s="1372">
        <v>6</v>
      </c>
      <c r="J196" s="1334">
        <v>44228</v>
      </c>
      <c r="K196" s="1335">
        <v>44561</v>
      </c>
      <c r="L196" s="910"/>
      <c r="M196" s="717">
        <v>16.66</v>
      </c>
      <c r="N196" s="717"/>
      <c r="O196" s="717">
        <v>16.66</v>
      </c>
      <c r="P196" s="717"/>
      <c r="Q196" s="717">
        <v>16.66</v>
      </c>
      <c r="R196" s="717"/>
      <c r="S196" s="717">
        <v>16.66</v>
      </c>
      <c r="T196" s="717"/>
      <c r="U196" s="717">
        <v>16.66</v>
      </c>
      <c r="V196" s="717"/>
      <c r="W196" s="868">
        <v>16.66</v>
      </c>
      <c r="X196" s="888">
        <f t="shared" si="37"/>
        <v>99.96</v>
      </c>
      <c r="Y196" s="663"/>
      <c r="Z196" s="20"/>
      <c r="AA196" s="20"/>
      <c r="AB196" s="20"/>
      <c r="AC196" s="20"/>
      <c r="AD196" s="20"/>
      <c r="AE196" s="20"/>
      <c r="AF196" s="20"/>
      <c r="AG196" s="20"/>
      <c r="AH196" s="20"/>
      <c r="AI196" s="20"/>
      <c r="AJ196" s="33"/>
      <c r="AK196" s="34"/>
    </row>
    <row r="197" spans="1:37" s="35" customFormat="1" ht="69" customHeight="1" x14ac:dyDescent="0.2">
      <c r="A197" s="1253" t="s">
        <v>1741</v>
      </c>
      <c r="B197" s="680" t="s">
        <v>1914</v>
      </c>
      <c r="C197" s="680" t="s">
        <v>831</v>
      </c>
      <c r="D197" s="734" t="s">
        <v>823</v>
      </c>
      <c r="E197" s="617"/>
      <c r="F197" s="618"/>
      <c r="G197" s="1127">
        <v>0.52631578947368418</v>
      </c>
      <c r="H197" s="658" t="s">
        <v>832</v>
      </c>
      <c r="I197" s="1372">
        <v>3</v>
      </c>
      <c r="J197" s="1334">
        <v>44287</v>
      </c>
      <c r="K197" s="1335">
        <v>44561</v>
      </c>
      <c r="L197" s="910"/>
      <c r="M197" s="717"/>
      <c r="N197" s="717"/>
      <c r="O197" s="717">
        <v>33.33</v>
      </c>
      <c r="P197" s="717"/>
      <c r="Q197" s="717"/>
      <c r="R197" s="717"/>
      <c r="S197" s="717">
        <v>33.33</v>
      </c>
      <c r="T197" s="717"/>
      <c r="U197" s="717"/>
      <c r="V197" s="717"/>
      <c r="W197" s="868">
        <v>33.33</v>
      </c>
      <c r="X197" s="888">
        <f t="shared" si="37"/>
        <v>99.99</v>
      </c>
      <c r="Y197" s="663"/>
      <c r="Z197" s="20"/>
      <c r="AA197" s="20"/>
      <c r="AB197" s="20"/>
      <c r="AC197" s="20"/>
      <c r="AD197" s="20"/>
      <c r="AE197" s="20"/>
      <c r="AF197" s="20"/>
      <c r="AG197" s="20"/>
      <c r="AH197" s="20"/>
      <c r="AI197" s="20"/>
      <c r="AJ197" s="33"/>
      <c r="AK197" s="34"/>
    </row>
    <row r="198" spans="1:37" s="35" customFormat="1" ht="75.75" customHeight="1" x14ac:dyDescent="0.2">
      <c r="A198" s="1253" t="s">
        <v>1742</v>
      </c>
      <c r="B198" s="682" t="s">
        <v>1381</v>
      </c>
      <c r="C198" s="680" t="s">
        <v>833</v>
      </c>
      <c r="D198" s="734" t="s">
        <v>823</v>
      </c>
      <c r="E198" s="617"/>
      <c r="F198" s="619"/>
      <c r="G198" s="1127">
        <v>0.52631578947368418</v>
      </c>
      <c r="H198" s="896" t="s">
        <v>575</v>
      </c>
      <c r="I198" s="1380">
        <v>4</v>
      </c>
      <c r="J198" s="1334">
        <v>44256</v>
      </c>
      <c r="K198" s="1335">
        <v>44561</v>
      </c>
      <c r="L198" s="910"/>
      <c r="M198" s="717"/>
      <c r="N198" s="717">
        <v>25</v>
      </c>
      <c r="O198" s="717"/>
      <c r="P198" s="717"/>
      <c r="Q198" s="717">
        <v>25</v>
      </c>
      <c r="R198" s="717"/>
      <c r="S198" s="717"/>
      <c r="T198" s="717">
        <v>25</v>
      </c>
      <c r="U198" s="717"/>
      <c r="V198" s="717"/>
      <c r="W198" s="868">
        <v>25</v>
      </c>
      <c r="X198" s="888">
        <f t="shared" si="37"/>
        <v>100</v>
      </c>
      <c r="Y198" s="663"/>
      <c r="Z198" s="20"/>
      <c r="AA198" s="20"/>
      <c r="AB198" s="20"/>
      <c r="AC198" s="20"/>
      <c r="AD198" s="20"/>
      <c r="AE198" s="20"/>
      <c r="AF198" s="20"/>
      <c r="AG198" s="20"/>
      <c r="AH198" s="20"/>
      <c r="AI198" s="20"/>
      <c r="AJ198" s="33"/>
      <c r="AK198" s="34"/>
    </row>
    <row r="199" spans="1:37" s="35" customFormat="1" ht="72.75" customHeight="1" x14ac:dyDescent="0.2">
      <c r="A199" s="1253" t="s">
        <v>1743</v>
      </c>
      <c r="B199" s="682" t="s">
        <v>1913</v>
      </c>
      <c r="C199" s="680" t="s">
        <v>834</v>
      </c>
      <c r="D199" s="734" t="s">
        <v>823</v>
      </c>
      <c r="E199" s="617"/>
      <c r="F199" s="618"/>
      <c r="G199" s="1127">
        <v>0.52631578947368418</v>
      </c>
      <c r="H199" s="658" t="s">
        <v>684</v>
      </c>
      <c r="I199" s="1372">
        <v>1</v>
      </c>
      <c r="J199" s="1334">
        <v>44228</v>
      </c>
      <c r="K199" s="1335">
        <v>44253</v>
      </c>
      <c r="L199" s="910"/>
      <c r="M199" s="717">
        <v>100</v>
      </c>
      <c r="N199" s="717"/>
      <c r="O199" s="717"/>
      <c r="P199" s="717"/>
      <c r="Q199" s="717"/>
      <c r="R199" s="717"/>
      <c r="S199" s="717"/>
      <c r="T199" s="717"/>
      <c r="U199" s="717"/>
      <c r="V199" s="717"/>
      <c r="W199" s="868"/>
      <c r="X199" s="888">
        <f t="shared" si="37"/>
        <v>100</v>
      </c>
      <c r="Y199" s="663"/>
      <c r="Z199" s="20"/>
      <c r="AA199" s="20"/>
      <c r="AB199" s="20"/>
      <c r="AC199" s="20"/>
      <c r="AD199" s="20"/>
      <c r="AE199" s="20"/>
      <c r="AF199" s="20"/>
      <c r="AG199" s="20"/>
      <c r="AH199" s="20"/>
      <c r="AI199" s="20"/>
      <c r="AJ199" s="33"/>
      <c r="AK199" s="34"/>
    </row>
    <row r="200" spans="1:37" s="35" customFormat="1" ht="74.25" customHeight="1" x14ac:dyDescent="0.2">
      <c r="A200" s="1253" t="s">
        <v>1744</v>
      </c>
      <c r="B200" s="682" t="s">
        <v>1912</v>
      </c>
      <c r="C200" s="680" t="s">
        <v>835</v>
      </c>
      <c r="D200" s="734" t="s">
        <v>823</v>
      </c>
      <c r="E200" s="617"/>
      <c r="F200" s="618"/>
      <c r="G200" s="1127">
        <v>0.52631578947368418</v>
      </c>
      <c r="H200" s="658" t="s">
        <v>684</v>
      </c>
      <c r="I200" s="1372">
        <v>2</v>
      </c>
      <c r="J200" s="1334">
        <v>44200</v>
      </c>
      <c r="K200" s="1335">
        <v>44407</v>
      </c>
      <c r="L200" s="910">
        <v>50</v>
      </c>
      <c r="M200" s="717"/>
      <c r="N200" s="717"/>
      <c r="O200" s="717"/>
      <c r="P200" s="717"/>
      <c r="Q200" s="717"/>
      <c r="R200" s="717">
        <v>50</v>
      </c>
      <c r="S200" s="717"/>
      <c r="T200" s="717"/>
      <c r="U200" s="717"/>
      <c r="V200" s="717"/>
      <c r="W200" s="868"/>
      <c r="X200" s="888">
        <f t="shared" si="37"/>
        <v>100</v>
      </c>
      <c r="Y200" s="663"/>
      <c r="Z200" s="20"/>
      <c r="AA200" s="20"/>
      <c r="AB200" s="20"/>
      <c r="AC200" s="20"/>
      <c r="AD200" s="20"/>
      <c r="AE200" s="20"/>
      <c r="AF200" s="20"/>
      <c r="AG200" s="20"/>
      <c r="AH200" s="20"/>
      <c r="AI200" s="20"/>
      <c r="AJ200" s="33"/>
      <c r="AK200" s="34"/>
    </row>
    <row r="201" spans="1:37" s="35" customFormat="1" ht="75" customHeight="1" x14ac:dyDescent="0.2">
      <c r="A201" s="1253" t="s">
        <v>1745</v>
      </c>
      <c r="B201" s="682" t="s">
        <v>1900</v>
      </c>
      <c r="C201" s="680" t="s">
        <v>827</v>
      </c>
      <c r="D201" s="734" t="s">
        <v>823</v>
      </c>
      <c r="E201" s="617"/>
      <c r="F201" s="618"/>
      <c r="G201" s="1127">
        <v>0.52631578947368418</v>
      </c>
      <c r="H201" s="658" t="s">
        <v>684</v>
      </c>
      <c r="I201" s="1372">
        <v>1</v>
      </c>
      <c r="J201" s="1334">
        <v>44228</v>
      </c>
      <c r="K201" s="1335">
        <v>44253</v>
      </c>
      <c r="L201" s="910"/>
      <c r="M201" s="717">
        <v>100</v>
      </c>
      <c r="N201" s="717"/>
      <c r="O201" s="717"/>
      <c r="P201" s="717"/>
      <c r="Q201" s="717"/>
      <c r="R201" s="717"/>
      <c r="S201" s="717"/>
      <c r="T201" s="717"/>
      <c r="U201" s="717"/>
      <c r="V201" s="717"/>
      <c r="W201" s="868"/>
      <c r="X201" s="888">
        <f t="shared" si="37"/>
        <v>100</v>
      </c>
      <c r="Y201" s="663"/>
      <c r="Z201" s="20"/>
      <c r="AA201" s="20"/>
      <c r="AB201" s="20"/>
      <c r="AC201" s="20"/>
      <c r="AD201" s="20"/>
      <c r="AE201" s="20"/>
      <c r="AF201" s="20"/>
      <c r="AG201" s="20"/>
      <c r="AH201" s="20"/>
      <c r="AI201" s="20"/>
      <c r="AJ201" s="33"/>
      <c r="AK201" s="34"/>
    </row>
    <row r="202" spans="1:37" s="35" customFormat="1" ht="70.5" customHeight="1" x14ac:dyDescent="0.2">
      <c r="A202" s="1253" t="s">
        <v>1746</v>
      </c>
      <c r="B202" s="680" t="s">
        <v>1898</v>
      </c>
      <c r="C202" s="680" t="s">
        <v>1899</v>
      </c>
      <c r="D202" s="734" t="s">
        <v>836</v>
      </c>
      <c r="E202" s="617"/>
      <c r="F202" s="618"/>
      <c r="G202" s="1127">
        <v>0.52631578947368418</v>
      </c>
      <c r="H202" s="658" t="s">
        <v>684</v>
      </c>
      <c r="I202" s="1360">
        <v>3</v>
      </c>
      <c r="J202" s="1334">
        <v>44256</v>
      </c>
      <c r="K202" s="1335">
        <v>44498</v>
      </c>
      <c r="L202" s="910"/>
      <c r="M202" s="717"/>
      <c r="N202" s="717">
        <f>2*33.3333333333333</f>
        <v>66.6666666666666</v>
      </c>
      <c r="O202" s="717"/>
      <c r="P202" s="717"/>
      <c r="Q202" s="717"/>
      <c r="R202" s="717"/>
      <c r="S202" s="717"/>
      <c r="T202" s="717"/>
      <c r="U202" s="717">
        <f>1*33.3333333333333</f>
        <v>33.3333333333333</v>
      </c>
      <c r="V202" s="717"/>
      <c r="W202" s="868"/>
      <c r="X202" s="888">
        <f t="shared" si="37"/>
        <v>99.999999999999901</v>
      </c>
      <c r="Y202" s="663"/>
      <c r="Z202" s="20"/>
      <c r="AA202" s="20"/>
      <c r="AB202" s="20"/>
      <c r="AC202" s="20"/>
      <c r="AD202" s="20"/>
      <c r="AE202" s="20"/>
      <c r="AF202" s="20"/>
      <c r="AG202" s="20"/>
      <c r="AH202" s="20"/>
      <c r="AI202" s="20"/>
      <c r="AJ202" s="33"/>
      <c r="AK202" s="34"/>
    </row>
    <row r="203" spans="1:37" s="35" customFormat="1" ht="73.5" customHeight="1" x14ac:dyDescent="0.2">
      <c r="A203" s="1253" t="s">
        <v>1747</v>
      </c>
      <c r="B203" s="680" t="s">
        <v>837</v>
      </c>
      <c r="C203" s="680" t="s">
        <v>838</v>
      </c>
      <c r="D203" s="734" t="s">
        <v>836</v>
      </c>
      <c r="E203" s="617"/>
      <c r="F203" s="618"/>
      <c r="G203" s="1127">
        <v>0.52631578947368418</v>
      </c>
      <c r="H203" s="658" t="s">
        <v>684</v>
      </c>
      <c r="I203" s="1372">
        <v>3</v>
      </c>
      <c r="J203" s="1336">
        <v>44228</v>
      </c>
      <c r="K203" s="1337">
        <v>44498</v>
      </c>
      <c r="L203" s="910"/>
      <c r="M203" s="717">
        <v>33.33</v>
      </c>
      <c r="N203" s="717"/>
      <c r="O203" s="717"/>
      <c r="P203" s="717"/>
      <c r="Q203" s="717">
        <v>33.33</v>
      </c>
      <c r="R203" s="717"/>
      <c r="S203" s="717"/>
      <c r="T203" s="717"/>
      <c r="U203" s="717">
        <v>33.33</v>
      </c>
      <c r="V203" s="717"/>
      <c r="W203" s="868"/>
      <c r="X203" s="888">
        <f t="shared" si="37"/>
        <v>99.99</v>
      </c>
      <c r="Y203" s="663"/>
      <c r="Z203" s="20"/>
      <c r="AA203" s="20"/>
      <c r="AB203" s="20"/>
      <c r="AC203" s="20"/>
      <c r="AD203" s="20"/>
      <c r="AE203" s="20"/>
      <c r="AF203" s="20"/>
      <c r="AG203" s="20"/>
      <c r="AH203" s="20"/>
      <c r="AI203" s="20"/>
      <c r="AJ203" s="33"/>
      <c r="AK203" s="34"/>
    </row>
    <row r="204" spans="1:37" s="35" customFormat="1" ht="73.5" customHeight="1" x14ac:dyDescent="0.2">
      <c r="A204" s="1253" t="s">
        <v>1748</v>
      </c>
      <c r="B204" s="680" t="s">
        <v>1350</v>
      </c>
      <c r="C204" s="680" t="s">
        <v>1351</v>
      </c>
      <c r="D204" s="734" t="s">
        <v>836</v>
      </c>
      <c r="E204" s="617"/>
      <c r="F204" s="618"/>
      <c r="G204" s="1127">
        <v>0.52631578947368418</v>
      </c>
      <c r="H204" s="658" t="s">
        <v>684</v>
      </c>
      <c r="I204" s="1372">
        <v>1</v>
      </c>
      <c r="J204" s="1334">
        <v>44410</v>
      </c>
      <c r="K204" s="1335">
        <v>44439</v>
      </c>
      <c r="L204" s="910"/>
      <c r="M204" s="717"/>
      <c r="N204" s="717"/>
      <c r="O204" s="717"/>
      <c r="P204" s="717"/>
      <c r="Q204" s="717"/>
      <c r="R204" s="717"/>
      <c r="S204" s="717">
        <v>100</v>
      </c>
      <c r="T204" s="717"/>
      <c r="U204" s="717"/>
      <c r="V204" s="717"/>
      <c r="W204" s="868"/>
      <c r="X204" s="888">
        <f t="shared" si="37"/>
        <v>100</v>
      </c>
      <c r="Y204" s="663"/>
      <c r="Z204" s="20"/>
      <c r="AA204" s="20"/>
      <c r="AB204" s="20"/>
      <c r="AC204" s="20"/>
      <c r="AD204" s="20"/>
      <c r="AE204" s="20"/>
      <c r="AF204" s="20"/>
      <c r="AG204" s="20"/>
      <c r="AH204" s="20"/>
      <c r="AI204" s="20"/>
      <c r="AJ204" s="33"/>
      <c r="AK204" s="34"/>
    </row>
    <row r="205" spans="1:37" s="35" customFormat="1" ht="71.25" customHeight="1" x14ac:dyDescent="0.2">
      <c r="A205" s="1253" t="s">
        <v>1749</v>
      </c>
      <c r="B205" s="680" t="s">
        <v>839</v>
      </c>
      <c r="C205" s="680" t="s">
        <v>840</v>
      </c>
      <c r="D205" s="734" t="s">
        <v>836</v>
      </c>
      <c r="E205" s="617"/>
      <c r="F205" s="618"/>
      <c r="G205" s="1127">
        <v>0.52631578947368418</v>
      </c>
      <c r="H205" s="658" t="s">
        <v>684</v>
      </c>
      <c r="I205" s="1372">
        <v>1</v>
      </c>
      <c r="J205" s="1334">
        <v>44319</v>
      </c>
      <c r="K205" s="1335">
        <v>44347</v>
      </c>
      <c r="L205" s="910"/>
      <c r="M205" s="717"/>
      <c r="N205" s="717"/>
      <c r="O205" s="717"/>
      <c r="P205" s="717">
        <v>100</v>
      </c>
      <c r="Q205" s="717"/>
      <c r="R205" s="717"/>
      <c r="S205" s="717"/>
      <c r="T205" s="717"/>
      <c r="U205" s="717"/>
      <c r="V205" s="717"/>
      <c r="W205" s="868"/>
      <c r="X205" s="888">
        <f t="shared" si="37"/>
        <v>100</v>
      </c>
      <c r="Y205" s="663"/>
      <c r="Z205" s="20"/>
      <c r="AA205" s="20"/>
      <c r="AB205" s="20"/>
      <c r="AC205" s="20"/>
      <c r="AD205" s="20"/>
      <c r="AE205" s="20"/>
      <c r="AF205" s="20"/>
      <c r="AG205" s="20"/>
      <c r="AH205" s="20"/>
      <c r="AI205" s="20"/>
      <c r="AJ205" s="33"/>
      <c r="AK205" s="34"/>
    </row>
    <row r="206" spans="1:37" s="35" customFormat="1" ht="79.5" customHeight="1" x14ac:dyDescent="0.2">
      <c r="A206" s="1253" t="s">
        <v>1750</v>
      </c>
      <c r="B206" s="680" t="s">
        <v>841</v>
      </c>
      <c r="C206" s="680" t="s">
        <v>842</v>
      </c>
      <c r="D206" s="734" t="s">
        <v>836</v>
      </c>
      <c r="E206" s="617"/>
      <c r="F206" s="618"/>
      <c r="G206" s="1127">
        <v>0.52631578947368418</v>
      </c>
      <c r="H206" s="658" t="s">
        <v>684</v>
      </c>
      <c r="I206" s="1372">
        <v>2</v>
      </c>
      <c r="J206" s="1334">
        <v>44287</v>
      </c>
      <c r="K206" s="1335">
        <v>44469</v>
      </c>
      <c r="L206" s="910"/>
      <c r="M206" s="717"/>
      <c r="N206" s="717"/>
      <c r="O206" s="717">
        <v>50</v>
      </c>
      <c r="P206" s="717"/>
      <c r="Q206" s="717"/>
      <c r="R206" s="717"/>
      <c r="S206" s="717"/>
      <c r="T206" s="717">
        <v>50</v>
      </c>
      <c r="U206" s="717"/>
      <c r="V206" s="717"/>
      <c r="W206" s="868"/>
      <c r="X206" s="888">
        <f t="shared" si="37"/>
        <v>100</v>
      </c>
      <c r="Y206" s="663"/>
      <c r="Z206" s="20"/>
      <c r="AA206" s="20"/>
      <c r="AB206" s="20"/>
      <c r="AC206" s="20"/>
      <c r="AD206" s="20"/>
      <c r="AE206" s="20"/>
      <c r="AF206" s="20"/>
      <c r="AG206" s="20"/>
      <c r="AH206" s="20"/>
      <c r="AI206" s="20"/>
      <c r="AJ206" s="33"/>
      <c r="AK206" s="34"/>
    </row>
    <row r="207" spans="1:37" s="35" customFormat="1" ht="69.75" customHeight="1" x14ac:dyDescent="0.2">
      <c r="A207" s="1253" t="s">
        <v>1751</v>
      </c>
      <c r="B207" s="680" t="s">
        <v>843</v>
      </c>
      <c r="C207" s="680" t="s">
        <v>844</v>
      </c>
      <c r="D207" s="734" t="s">
        <v>836</v>
      </c>
      <c r="E207" s="617"/>
      <c r="F207" s="618"/>
      <c r="G207" s="1127">
        <v>0.52631578947368418</v>
      </c>
      <c r="H207" s="658" t="s">
        <v>684</v>
      </c>
      <c r="I207" s="1372">
        <v>2</v>
      </c>
      <c r="J207" s="1334">
        <v>44200</v>
      </c>
      <c r="K207" s="1335">
        <v>44225</v>
      </c>
      <c r="L207" s="910">
        <v>100</v>
      </c>
      <c r="M207" s="717"/>
      <c r="N207" s="717"/>
      <c r="O207" s="717"/>
      <c r="P207" s="717"/>
      <c r="Q207" s="717"/>
      <c r="R207" s="717"/>
      <c r="S207" s="717"/>
      <c r="T207" s="717"/>
      <c r="U207" s="717"/>
      <c r="V207" s="717"/>
      <c r="W207" s="868"/>
      <c r="X207" s="888">
        <f t="shared" si="37"/>
        <v>100</v>
      </c>
      <c r="Y207" s="663"/>
      <c r="Z207" s="20"/>
      <c r="AA207" s="20"/>
      <c r="AB207" s="20"/>
      <c r="AC207" s="20"/>
      <c r="AD207" s="20"/>
      <c r="AE207" s="20"/>
      <c r="AF207" s="20"/>
      <c r="AG207" s="20"/>
      <c r="AH207" s="20"/>
      <c r="AI207" s="20"/>
      <c r="AJ207" s="33"/>
      <c r="AK207" s="34"/>
    </row>
    <row r="208" spans="1:37" s="35" customFormat="1" ht="78" customHeight="1" x14ac:dyDescent="0.2">
      <c r="A208" s="1253" t="s">
        <v>1752</v>
      </c>
      <c r="B208" s="680" t="s">
        <v>845</v>
      </c>
      <c r="C208" s="680" t="s">
        <v>846</v>
      </c>
      <c r="D208" s="734" t="s">
        <v>836</v>
      </c>
      <c r="E208" s="617"/>
      <c r="F208" s="618"/>
      <c r="G208" s="1127">
        <v>0.52631578947368418</v>
      </c>
      <c r="H208" s="658" t="s">
        <v>684</v>
      </c>
      <c r="I208" s="1372">
        <v>1</v>
      </c>
      <c r="J208" s="1334">
        <v>44228</v>
      </c>
      <c r="K208" s="1335">
        <v>44253</v>
      </c>
      <c r="L208" s="910"/>
      <c r="M208" s="717">
        <v>100</v>
      </c>
      <c r="N208" s="717"/>
      <c r="O208" s="717"/>
      <c r="P208" s="717"/>
      <c r="Q208" s="717"/>
      <c r="R208" s="717"/>
      <c r="S208" s="717"/>
      <c r="T208" s="717"/>
      <c r="U208" s="717"/>
      <c r="V208" s="717"/>
      <c r="W208" s="868"/>
      <c r="X208" s="888">
        <f t="shared" si="37"/>
        <v>100</v>
      </c>
      <c r="Y208" s="663"/>
      <c r="Z208" s="20"/>
      <c r="AA208" s="20"/>
      <c r="AB208" s="20"/>
      <c r="AC208" s="20"/>
      <c r="AD208" s="20"/>
      <c r="AE208" s="20"/>
      <c r="AF208" s="20"/>
      <c r="AG208" s="20"/>
      <c r="AH208" s="20"/>
      <c r="AI208" s="20"/>
      <c r="AJ208" s="33"/>
      <c r="AK208" s="34"/>
    </row>
    <row r="209" spans="1:37" s="35" customFormat="1" ht="75.75" customHeight="1" x14ac:dyDescent="0.2">
      <c r="A209" s="1253" t="s">
        <v>1753</v>
      </c>
      <c r="B209" s="680" t="s">
        <v>847</v>
      </c>
      <c r="C209" s="680" t="s">
        <v>848</v>
      </c>
      <c r="D209" s="734" t="s">
        <v>849</v>
      </c>
      <c r="E209" s="617"/>
      <c r="F209" s="618"/>
      <c r="G209" s="1127">
        <v>0.52631578947368418</v>
      </c>
      <c r="H209" s="658" t="s">
        <v>850</v>
      </c>
      <c r="I209" s="1372">
        <v>26</v>
      </c>
      <c r="J209" s="1334">
        <v>44200</v>
      </c>
      <c r="K209" s="1335">
        <v>44530</v>
      </c>
      <c r="L209" s="910">
        <v>7.7</v>
      </c>
      <c r="M209" s="717">
        <v>15.4</v>
      </c>
      <c r="N209" s="717">
        <v>7.7</v>
      </c>
      <c r="O209" s="717">
        <v>15.4</v>
      </c>
      <c r="P209" s="717">
        <v>15.4</v>
      </c>
      <c r="Q209" s="717">
        <v>15.4</v>
      </c>
      <c r="R209" s="717">
        <v>7.7</v>
      </c>
      <c r="S209" s="717"/>
      <c r="T209" s="717">
        <v>7.7</v>
      </c>
      <c r="U209" s="717"/>
      <c r="V209" s="717">
        <v>7.7</v>
      </c>
      <c r="W209" s="868"/>
      <c r="X209" s="888">
        <f t="shared" si="37"/>
        <v>100.10000000000001</v>
      </c>
      <c r="Y209" s="663"/>
      <c r="Z209" s="20"/>
      <c r="AA209" s="20"/>
      <c r="AB209" s="20"/>
      <c r="AC209" s="20"/>
      <c r="AD209" s="20"/>
      <c r="AE209" s="20"/>
      <c r="AF209" s="20"/>
      <c r="AG209" s="20"/>
      <c r="AH209" s="20"/>
      <c r="AI209" s="20"/>
      <c r="AJ209" s="33"/>
      <c r="AK209" s="34"/>
    </row>
    <row r="210" spans="1:37" s="35" customFormat="1" ht="81" customHeight="1" x14ac:dyDescent="0.2">
      <c r="A210" s="1253" t="s">
        <v>1754</v>
      </c>
      <c r="B210" s="682" t="s">
        <v>851</v>
      </c>
      <c r="C210" s="682" t="s">
        <v>852</v>
      </c>
      <c r="D210" s="734" t="s">
        <v>849</v>
      </c>
      <c r="E210" s="620"/>
      <c r="F210" s="621"/>
      <c r="G210" s="1127">
        <v>0.52631578947368418</v>
      </c>
      <c r="H210" s="654" t="s">
        <v>850</v>
      </c>
      <c r="I210" s="1360">
        <v>204</v>
      </c>
      <c r="J210" s="1336">
        <v>44200</v>
      </c>
      <c r="K210" s="1337">
        <v>44530</v>
      </c>
      <c r="L210" s="910">
        <v>9.3000000000000007</v>
      </c>
      <c r="M210" s="717">
        <v>9.3000000000000007</v>
      </c>
      <c r="N210" s="717">
        <v>9.3000000000000007</v>
      </c>
      <c r="O210" s="717">
        <v>9.3000000000000007</v>
      </c>
      <c r="P210" s="717">
        <v>9.3000000000000007</v>
      </c>
      <c r="Q210" s="717">
        <v>9.3000000000000007</v>
      </c>
      <c r="R210" s="717">
        <v>9.3000000000000007</v>
      </c>
      <c r="S210" s="717">
        <v>8.6999999999999993</v>
      </c>
      <c r="T210" s="717">
        <v>8.6999999999999993</v>
      </c>
      <c r="U210" s="717">
        <v>8.6999999999999993</v>
      </c>
      <c r="V210" s="717">
        <v>8.8000000000000007</v>
      </c>
      <c r="W210" s="868"/>
      <c r="X210" s="888">
        <f t="shared" si="37"/>
        <v>100</v>
      </c>
      <c r="Y210" s="663"/>
      <c r="Z210" s="20"/>
      <c r="AA210" s="20"/>
      <c r="AB210" s="20"/>
      <c r="AC210" s="20"/>
      <c r="AD210" s="20"/>
      <c r="AE210" s="20"/>
      <c r="AF210" s="20"/>
      <c r="AG210" s="20"/>
      <c r="AH210" s="20"/>
      <c r="AI210" s="20"/>
      <c r="AJ210" s="33"/>
      <c r="AK210" s="34"/>
    </row>
    <row r="211" spans="1:37" s="35" customFormat="1" ht="84" customHeight="1" x14ac:dyDescent="0.2">
      <c r="A211" s="1253" t="s">
        <v>1755</v>
      </c>
      <c r="B211" s="682" t="s">
        <v>853</v>
      </c>
      <c r="C211" s="682" t="s">
        <v>854</v>
      </c>
      <c r="D211" s="734" t="s">
        <v>849</v>
      </c>
      <c r="E211" s="620"/>
      <c r="F211" s="621"/>
      <c r="G211" s="1127">
        <v>0.52631578947368418</v>
      </c>
      <c r="H211" s="654" t="s">
        <v>850</v>
      </c>
      <c r="I211" s="1360">
        <v>5</v>
      </c>
      <c r="J211" s="1336">
        <v>44200</v>
      </c>
      <c r="K211" s="1337">
        <v>44498</v>
      </c>
      <c r="L211" s="910">
        <v>20</v>
      </c>
      <c r="M211" s="717">
        <v>20</v>
      </c>
      <c r="N211" s="717"/>
      <c r="O211" s="717"/>
      <c r="P211" s="717"/>
      <c r="Q211" s="717">
        <v>40</v>
      </c>
      <c r="R211" s="717"/>
      <c r="S211" s="717"/>
      <c r="T211" s="717"/>
      <c r="U211" s="717">
        <v>20</v>
      </c>
      <c r="V211" s="717"/>
      <c r="W211" s="868"/>
      <c r="X211" s="888">
        <f t="shared" si="37"/>
        <v>100</v>
      </c>
      <c r="Y211" s="663"/>
      <c r="Z211" s="20"/>
      <c r="AA211" s="20"/>
      <c r="AB211" s="20"/>
      <c r="AC211" s="20"/>
      <c r="AD211" s="20"/>
      <c r="AE211" s="20"/>
      <c r="AF211" s="20"/>
      <c r="AG211" s="20"/>
      <c r="AH211" s="20"/>
      <c r="AI211" s="20"/>
      <c r="AJ211" s="33"/>
      <c r="AK211" s="34"/>
    </row>
    <row r="212" spans="1:37" s="35" customFormat="1" ht="72.75" customHeight="1" x14ac:dyDescent="0.2">
      <c r="A212" s="1253" t="s">
        <v>1756</v>
      </c>
      <c r="B212" s="682" t="s">
        <v>855</v>
      </c>
      <c r="C212" s="682" t="s">
        <v>856</v>
      </c>
      <c r="D212" s="734" t="s">
        <v>849</v>
      </c>
      <c r="E212" s="620"/>
      <c r="F212" s="621"/>
      <c r="G212" s="1127">
        <v>0.52631578947368418</v>
      </c>
      <c r="H212" s="654" t="s">
        <v>850</v>
      </c>
      <c r="I212" s="1360">
        <v>2</v>
      </c>
      <c r="J212" s="1336">
        <v>44200</v>
      </c>
      <c r="K212" s="1337">
        <v>44530</v>
      </c>
      <c r="L212" s="910">
        <v>50</v>
      </c>
      <c r="M212" s="717"/>
      <c r="N212" s="717"/>
      <c r="O212" s="717"/>
      <c r="P212" s="717"/>
      <c r="Q212" s="717"/>
      <c r="R212" s="717"/>
      <c r="S212" s="717"/>
      <c r="T212" s="717"/>
      <c r="U212" s="717"/>
      <c r="V212" s="717">
        <v>50</v>
      </c>
      <c r="W212" s="868"/>
      <c r="X212" s="888">
        <f t="shared" si="37"/>
        <v>100</v>
      </c>
      <c r="Y212" s="663"/>
      <c r="Z212" s="20"/>
      <c r="AA212" s="20"/>
      <c r="AB212" s="20"/>
      <c r="AC212" s="20"/>
      <c r="AD212" s="20"/>
      <c r="AE212" s="20"/>
      <c r="AF212" s="20"/>
      <c r="AG212" s="20"/>
      <c r="AH212" s="20"/>
      <c r="AI212" s="20"/>
      <c r="AJ212" s="33"/>
      <c r="AK212" s="34"/>
    </row>
    <row r="213" spans="1:37" s="35" customFormat="1" ht="77.25" customHeight="1" x14ac:dyDescent="0.2">
      <c r="A213" s="1253" t="s">
        <v>1757</v>
      </c>
      <c r="B213" s="682" t="s">
        <v>857</v>
      </c>
      <c r="C213" s="682" t="s">
        <v>858</v>
      </c>
      <c r="D213" s="734" t="s">
        <v>849</v>
      </c>
      <c r="E213" s="620"/>
      <c r="F213" s="621"/>
      <c r="G213" s="1127">
        <v>0.52631578947368418</v>
      </c>
      <c r="H213" s="654" t="s">
        <v>746</v>
      </c>
      <c r="I213" s="1360">
        <v>1</v>
      </c>
      <c r="J213" s="1336">
        <v>44200</v>
      </c>
      <c r="K213" s="1337">
        <v>44225</v>
      </c>
      <c r="L213" s="910">
        <v>100</v>
      </c>
      <c r="M213" s="717"/>
      <c r="N213" s="717"/>
      <c r="O213" s="717"/>
      <c r="P213" s="717"/>
      <c r="Q213" s="717"/>
      <c r="R213" s="717"/>
      <c r="S213" s="717"/>
      <c r="T213" s="717"/>
      <c r="U213" s="717"/>
      <c r="V213" s="717"/>
      <c r="W213" s="868"/>
      <c r="X213" s="888">
        <f t="shared" si="37"/>
        <v>100</v>
      </c>
      <c r="Y213" s="663"/>
      <c r="Z213" s="20"/>
      <c r="AA213" s="20"/>
      <c r="AB213" s="20"/>
      <c r="AC213" s="20"/>
      <c r="AD213" s="20"/>
      <c r="AE213" s="20"/>
      <c r="AF213" s="20"/>
      <c r="AG213" s="20"/>
      <c r="AH213" s="20"/>
      <c r="AI213" s="20"/>
      <c r="AJ213" s="33"/>
      <c r="AK213" s="34"/>
    </row>
    <row r="214" spans="1:37" s="35" customFormat="1" ht="73.5" customHeight="1" x14ac:dyDescent="0.2">
      <c r="A214" s="1253" t="s">
        <v>1758</v>
      </c>
      <c r="B214" s="682" t="s">
        <v>859</v>
      </c>
      <c r="C214" s="682" t="s">
        <v>807</v>
      </c>
      <c r="D214" s="734" t="s">
        <v>849</v>
      </c>
      <c r="E214" s="620"/>
      <c r="F214" s="621"/>
      <c r="G214" s="1127">
        <v>0.52631578947368418</v>
      </c>
      <c r="H214" s="654" t="s">
        <v>777</v>
      </c>
      <c r="I214" s="1360">
        <v>1</v>
      </c>
      <c r="J214" s="1336">
        <v>44200</v>
      </c>
      <c r="K214" s="1337">
        <v>44225</v>
      </c>
      <c r="L214" s="910">
        <v>100</v>
      </c>
      <c r="M214" s="717"/>
      <c r="N214" s="717"/>
      <c r="O214" s="717"/>
      <c r="P214" s="717"/>
      <c r="Q214" s="717"/>
      <c r="R214" s="717"/>
      <c r="S214" s="717"/>
      <c r="T214" s="717"/>
      <c r="U214" s="717"/>
      <c r="V214" s="717"/>
      <c r="W214" s="868"/>
      <c r="X214" s="888">
        <f t="shared" si="37"/>
        <v>100</v>
      </c>
      <c r="Y214" s="663"/>
      <c r="Z214" s="20"/>
      <c r="AA214" s="20"/>
      <c r="AB214" s="20"/>
      <c r="AC214" s="20"/>
      <c r="AD214" s="20"/>
      <c r="AE214" s="20"/>
      <c r="AF214" s="20"/>
      <c r="AG214" s="20"/>
      <c r="AH214" s="20"/>
      <c r="AI214" s="20"/>
      <c r="AJ214" s="33"/>
      <c r="AK214" s="34"/>
    </row>
    <row r="215" spans="1:37" s="35" customFormat="1" ht="71.25" customHeight="1" x14ac:dyDescent="0.2">
      <c r="A215" s="1253" t="s">
        <v>1759</v>
      </c>
      <c r="B215" s="682" t="s">
        <v>860</v>
      </c>
      <c r="C215" s="682" t="s">
        <v>1981</v>
      </c>
      <c r="D215" s="734" t="s">
        <v>861</v>
      </c>
      <c r="E215" s="620"/>
      <c r="F215" s="621"/>
      <c r="G215" s="1127">
        <v>0.52631578947368418</v>
      </c>
      <c r="H215" s="654" t="s">
        <v>575</v>
      </c>
      <c r="I215" s="1360">
        <v>12</v>
      </c>
      <c r="J215" s="1336">
        <v>44200</v>
      </c>
      <c r="K215" s="1337">
        <v>44561</v>
      </c>
      <c r="L215" s="910">
        <v>8.33</v>
      </c>
      <c r="M215" s="717">
        <v>8.33</v>
      </c>
      <c r="N215" s="717">
        <v>8.33</v>
      </c>
      <c r="O215" s="717">
        <v>8.33</v>
      </c>
      <c r="P215" s="717">
        <v>8.33</v>
      </c>
      <c r="Q215" s="717">
        <v>8.33</v>
      </c>
      <c r="R215" s="717">
        <v>8.33</v>
      </c>
      <c r="S215" s="717">
        <v>8.33</v>
      </c>
      <c r="T215" s="717">
        <v>8.33</v>
      </c>
      <c r="U215" s="717">
        <v>8.33</v>
      </c>
      <c r="V215" s="717">
        <v>8.33</v>
      </c>
      <c r="W215" s="868">
        <v>8.33</v>
      </c>
      <c r="X215" s="888">
        <f t="shared" si="37"/>
        <v>99.96</v>
      </c>
      <c r="Y215" s="663"/>
      <c r="Z215" s="20"/>
      <c r="AA215" s="20"/>
      <c r="AB215" s="20"/>
      <c r="AC215" s="20"/>
      <c r="AD215" s="20"/>
      <c r="AE215" s="20"/>
      <c r="AF215" s="20"/>
      <c r="AG215" s="20"/>
      <c r="AH215" s="20"/>
      <c r="AI215" s="20"/>
      <c r="AJ215" s="33"/>
      <c r="AK215" s="34"/>
    </row>
    <row r="216" spans="1:37" s="35" customFormat="1" ht="64.5" customHeight="1" x14ac:dyDescent="0.2">
      <c r="A216" s="1253" t="s">
        <v>1760</v>
      </c>
      <c r="B216" s="640" t="s">
        <v>862</v>
      </c>
      <c r="C216" s="640" t="s">
        <v>863</v>
      </c>
      <c r="D216" s="735" t="s">
        <v>864</v>
      </c>
      <c r="E216" s="622"/>
      <c r="F216" s="623"/>
      <c r="G216" s="1127">
        <v>0.52631578947368418</v>
      </c>
      <c r="H216" s="662" t="s">
        <v>575</v>
      </c>
      <c r="I216" s="1353">
        <v>12</v>
      </c>
      <c r="J216" s="935">
        <v>44200</v>
      </c>
      <c r="K216" s="936">
        <v>44561</v>
      </c>
      <c r="L216" s="910">
        <v>8.33</v>
      </c>
      <c r="M216" s="717">
        <v>8.33</v>
      </c>
      <c r="N216" s="717">
        <v>8.33</v>
      </c>
      <c r="O216" s="717">
        <v>8.33</v>
      </c>
      <c r="P216" s="717">
        <v>8.33</v>
      </c>
      <c r="Q216" s="717">
        <v>8.33</v>
      </c>
      <c r="R216" s="717">
        <v>8.33</v>
      </c>
      <c r="S216" s="717">
        <v>8.33</v>
      </c>
      <c r="T216" s="717">
        <v>8.33</v>
      </c>
      <c r="U216" s="717">
        <v>8.33</v>
      </c>
      <c r="V216" s="717">
        <v>8.33</v>
      </c>
      <c r="W216" s="868">
        <v>8.33</v>
      </c>
      <c r="X216" s="888">
        <f t="shared" si="37"/>
        <v>99.96</v>
      </c>
      <c r="Y216" s="663"/>
      <c r="Z216" s="20"/>
      <c r="AA216" s="20"/>
      <c r="AB216" s="20"/>
      <c r="AC216" s="20"/>
      <c r="AD216" s="20"/>
      <c r="AE216" s="20"/>
      <c r="AF216" s="20"/>
      <c r="AG216" s="20"/>
      <c r="AH216" s="20"/>
      <c r="AI216" s="20"/>
      <c r="AJ216" s="33"/>
      <c r="AK216" s="34"/>
    </row>
    <row r="217" spans="1:37" s="35" customFormat="1" ht="60" customHeight="1" x14ac:dyDescent="0.2">
      <c r="A217" s="1253" t="s">
        <v>1761</v>
      </c>
      <c r="B217" s="640" t="s">
        <v>865</v>
      </c>
      <c r="C217" s="640" t="s">
        <v>866</v>
      </c>
      <c r="D217" s="735" t="s">
        <v>867</v>
      </c>
      <c r="E217" s="622"/>
      <c r="F217" s="623"/>
      <c r="G217" s="1127">
        <v>0.52631578947368418</v>
      </c>
      <c r="H217" s="662" t="s">
        <v>688</v>
      </c>
      <c r="I217" s="1353">
        <v>4</v>
      </c>
      <c r="J217" s="935">
        <v>44200</v>
      </c>
      <c r="K217" s="1338">
        <v>44225</v>
      </c>
      <c r="L217" s="910">
        <v>100</v>
      </c>
      <c r="M217" s="717"/>
      <c r="N217" s="717"/>
      <c r="O217" s="717"/>
      <c r="P217" s="717"/>
      <c r="Q217" s="717"/>
      <c r="R217" s="717"/>
      <c r="S217" s="717"/>
      <c r="T217" s="717"/>
      <c r="U217" s="717"/>
      <c r="V217" s="717"/>
      <c r="W217" s="868"/>
      <c r="X217" s="888">
        <f t="shared" si="37"/>
        <v>100</v>
      </c>
      <c r="Y217" s="663"/>
      <c r="Z217" s="20"/>
      <c r="AA217" s="20"/>
      <c r="AB217" s="20"/>
      <c r="AC217" s="20"/>
      <c r="AD217" s="20"/>
      <c r="AE217" s="20"/>
      <c r="AF217" s="20"/>
      <c r="AG217" s="20"/>
      <c r="AH217" s="20"/>
      <c r="AI217" s="20"/>
      <c r="AJ217" s="33"/>
      <c r="AK217" s="34"/>
    </row>
    <row r="218" spans="1:37" s="1102" customFormat="1" ht="64.5" customHeight="1" x14ac:dyDescent="0.2">
      <c r="A218" s="1253" t="s">
        <v>1762</v>
      </c>
      <c r="B218" s="681" t="s">
        <v>1352</v>
      </c>
      <c r="C218" s="681" t="s">
        <v>868</v>
      </c>
      <c r="D218" s="1103" t="s">
        <v>867</v>
      </c>
      <c r="E218" s="1104"/>
      <c r="F218" s="1105"/>
      <c r="G218" s="1127">
        <v>0.52631578947368418</v>
      </c>
      <c r="H218" s="895" t="s">
        <v>688</v>
      </c>
      <c r="I218" s="1379">
        <v>1</v>
      </c>
      <c r="J218" s="783">
        <v>44200</v>
      </c>
      <c r="K218" s="1339">
        <v>44225</v>
      </c>
      <c r="L218" s="911">
        <v>100</v>
      </c>
      <c r="M218" s="718"/>
      <c r="N218" s="1106"/>
      <c r="O218" s="1106"/>
      <c r="P218" s="718"/>
      <c r="Q218" s="718"/>
      <c r="R218" s="718"/>
      <c r="S218" s="718"/>
      <c r="T218" s="718"/>
      <c r="U218" s="718"/>
      <c r="V218" s="718"/>
      <c r="W218" s="869"/>
      <c r="X218" s="888">
        <f t="shared" si="37"/>
        <v>100</v>
      </c>
      <c r="Y218" s="1098"/>
      <c r="Z218" s="1099"/>
      <c r="AA218" s="1099"/>
      <c r="AB218" s="1099"/>
      <c r="AC218" s="1099"/>
      <c r="AD218" s="1099"/>
      <c r="AE218" s="1099"/>
      <c r="AF218" s="1099"/>
      <c r="AG218" s="1099"/>
      <c r="AH218" s="1099"/>
      <c r="AI218" s="1099"/>
      <c r="AJ218" s="1100"/>
      <c r="AK218" s="1101"/>
    </row>
    <row r="219" spans="1:37" s="35" customFormat="1" ht="54" customHeight="1" x14ac:dyDescent="0.2">
      <c r="A219" s="1253" t="s">
        <v>1763</v>
      </c>
      <c r="B219" s="640" t="s">
        <v>869</v>
      </c>
      <c r="C219" s="640" t="s">
        <v>870</v>
      </c>
      <c r="D219" s="735" t="s">
        <v>867</v>
      </c>
      <c r="E219" s="622"/>
      <c r="F219" s="623"/>
      <c r="G219" s="1127">
        <v>0.52631578947368418</v>
      </c>
      <c r="H219" s="662" t="s">
        <v>575</v>
      </c>
      <c r="I219" s="1353">
        <v>5</v>
      </c>
      <c r="J219" s="1340">
        <v>44228</v>
      </c>
      <c r="K219" s="936">
        <v>44469</v>
      </c>
      <c r="L219" s="910"/>
      <c r="M219" s="717">
        <v>20</v>
      </c>
      <c r="N219" s="706"/>
      <c r="O219" s="706">
        <v>20</v>
      </c>
      <c r="P219" s="706">
        <v>20</v>
      </c>
      <c r="Q219" s="706"/>
      <c r="R219" s="706">
        <v>20</v>
      </c>
      <c r="S219" s="706"/>
      <c r="T219" s="706">
        <v>20</v>
      </c>
      <c r="U219" s="717"/>
      <c r="V219" s="717"/>
      <c r="W219" s="868"/>
      <c r="X219" s="888">
        <f t="shared" si="37"/>
        <v>100</v>
      </c>
      <c r="Y219" s="663"/>
      <c r="Z219" s="20"/>
      <c r="AA219" s="20"/>
      <c r="AB219" s="20"/>
      <c r="AC219" s="20"/>
      <c r="AD219" s="20"/>
      <c r="AE219" s="20"/>
      <c r="AF219" s="20"/>
      <c r="AG219" s="20"/>
      <c r="AH219" s="20"/>
      <c r="AI219" s="20"/>
      <c r="AJ219" s="33"/>
      <c r="AK219" s="34"/>
    </row>
    <row r="220" spans="1:37" s="35" customFormat="1" ht="63.75" customHeight="1" x14ac:dyDescent="0.2">
      <c r="A220" s="1253" t="s">
        <v>1764</v>
      </c>
      <c r="B220" s="640" t="s">
        <v>871</v>
      </c>
      <c r="C220" s="640" t="s">
        <v>872</v>
      </c>
      <c r="D220" s="735" t="s">
        <v>867</v>
      </c>
      <c r="E220" s="622"/>
      <c r="F220" s="623"/>
      <c r="G220" s="1127">
        <v>0.52631578947368418</v>
      </c>
      <c r="H220" s="662" t="s">
        <v>688</v>
      </c>
      <c r="I220" s="1353">
        <v>2</v>
      </c>
      <c r="J220" s="1340">
        <v>44228</v>
      </c>
      <c r="K220" s="1338">
        <v>44253</v>
      </c>
      <c r="L220" s="910"/>
      <c r="M220" s="717">
        <v>100</v>
      </c>
      <c r="N220" s="717"/>
      <c r="O220" s="717"/>
      <c r="P220" s="717"/>
      <c r="Q220" s="717"/>
      <c r="R220" s="717"/>
      <c r="S220" s="717"/>
      <c r="T220" s="717"/>
      <c r="U220" s="717"/>
      <c r="V220" s="717"/>
      <c r="W220" s="868"/>
      <c r="X220" s="888">
        <f t="shared" si="37"/>
        <v>100</v>
      </c>
      <c r="Y220" s="663"/>
      <c r="Z220" s="20"/>
      <c r="AA220" s="20"/>
      <c r="AB220" s="20"/>
      <c r="AC220" s="20"/>
      <c r="AD220" s="20"/>
      <c r="AE220" s="20"/>
      <c r="AF220" s="20"/>
      <c r="AG220" s="20"/>
      <c r="AH220" s="20"/>
      <c r="AI220" s="20"/>
      <c r="AJ220" s="33"/>
      <c r="AK220" s="34"/>
    </row>
    <row r="221" spans="1:37" s="35" customFormat="1" ht="110.25" customHeight="1" x14ac:dyDescent="0.2">
      <c r="A221" s="1253" t="s">
        <v>1765</v>
      </c>
      <c r="B221" s="1002" t="s">
        <v>873</v>
      </c>
      <c r="C221" s="640" t="s">
        <v>1567</v>
      </c>
      <c r="D221" s="735" t="s">
        <v>867</v>
      </c>
      <c r="E221" s="622"/>
      <c r="F221" s="623"/>
      <c r="G221" s="1127">
        <v>0.52631578947368418</v>
      </c>
      <c r="H221" s="662" t="s">
        <v>688</v>
      </c>
      <c r="I221" s="1353">
        <v>6</v>
      </c>
      <c r="J221" s="935">
        <v>44256</v>
      </c>
      <c r="K221" s="1338">
        <v>44316</v>
      </c>
      <c r="L221" s="910"/>
      <c r="M221" s="717"/>
      <c r="N221" s="717">
        <v>50</v>
      </c>
      <c r="O221" s="717">
        <v>50</v>
      </c>
      <c r="P221" s="717"/>
      <c r="Q221" s="717"/>
      <c r="R221" s="717"/>
      <c r="S221" s="717"/>
      <c r="T221" s="717"/>
      <c r="U221" s="717"/>
      <c r="V221" s="717"/>
      <c r="W221" s="868"/>
      <c r="X221" s="888">
        <f t="shared" si="37"/>
        <v>100</v>
      </c>
      <c r="Y221" s="663"/>
      <c r="Z221" s="20"/>
      <c r="AA221" s="20"/>
      <c r="AB221" s="20"/>
      <c r="AC221" s="20"/>
      <c r="AD221" s="20"/>
      <c r="AE221" s="20"/>
      <c r="AF221" s="20"/>
      <c r="AG221" s="20"/>
      <c r="AH221" s="20"/>
      <c r="AI221" s="20"/>
      <c r="AJ221" s="33"/>
      <c r="AK221" s="34"/>
    </row>
    <row r="222" spans="1:37" s="35" customFormat="1" ht="58.5" customHeight="1" x14ac:dyDescent="0.2">
      <c r="A222" s="1253" t="s">
        <v>1766</v>
      </c>
      <c r="B222" s="674" t="s">
        <v>874</v>
      </c>
      <c r="C222" s="640" t="s">
        <v>1568</v>
      </c>
      <c r="D222" s="735" t="s">
        <v>867</v>
      </c>
      <c r="E222" s="624"/>
      <c r="F222" s="623"/>
      <c r="G222" s="1127">
        <v>0.52631578947368418</v>
      </c>
      <c r="H222" s="662" t="s">
        <v>688</v>
      </c>
      <c r="I222" s="1353">
        <v>1</v>
      </c>
      <c r="J222" s="935">
        <v>44256</v>
      </c>
      <c r="K222" s="1338">
        <v>44286</v>
      </c>
      <c r="L222" s="910"/>
      <c r="M222" s="717"/>
      <c r="N222" s="717">
        <v>100</v>
      </c>
      <c r="O222" s="717"/>
      <c r="P222" s="717"/>
      <c r="Q222" s="717"/>
      <c r="R222" s="717"/>
      <c r="S222" s="717"/>
      <c r="T222" s="717"/>
      <c r="U222" s="717"/>
      <c r="V222" s="717"/>
      <c r="W222" s="868"/>
      <c r="X222" s="888">
        <f t="shared" si="37"/>
        <v>100</v>
      </c>
      <c r="Y222" s="663"/>
      <c r="Z222" s="20"/>
      <c r="AA222" s="20"/>
      <c r="AB222" s="20"/>
      <c r="AC222" s="20"/>
      <c r="AD222" s="20"/>
      <c r="AE222" s="20"/>
      <c r="AF222" s="20"/>
      <c r="AG222" s="20"/>
      <c r="AH222" s="20"/>
      <c r="AI222" s="20"/>
      <c r="AJ222" s="33"/>
      <c r="AK222" s="34"/>
    </row>
    <row r="223" spans="1:37" s="35" customFormat="1" ht="57.75" customHeight="1" x14ac:dyDescent="0.2">
      <c r="A223" s="1253" t="s">
        <v>1767</v>
      </c>
      <c r="B223" s="674" t="s">
        <v>959</v>
      </c>
      <c r="C223" s="674" t="s">
        <v>960</v>
      </c>
      <c r="D223" s="735" t="s">
        <v>961</v>
      </c>
      <c r="E223" s="625"/>
      <c r="F223" s="626"/>
      <c r="G223" s="1127">
        <v>0.52631578947368418</v>
      </c>
      <c r="H223" s="662" t="s">
        <v>746</v>
      </c>
      <c r="I223" s="1381">
        <v>2</v>
      </c>
      <c r="J223" s="1340">
        <v>44256</v>
      </c>
      <c r="K223" s="1338">
        <v>44498</v>
      </c>
      <c r="L223" s="920"/>
      <c r="M223" s="728"/>
      <c r="N223" s="728">
        <v>50</v>
      </c>
      <c r="O223" s="728"/>
      <c r="P223" s="728"/>
      <c r="Q223" s="728"/>
      <c r="R223" s="728"/>
      <c r="S223" s="728"/>
      <c r="T223" s="728"/>
      <c r="U223" s="728">
        <v>50</v>
      </c>
      <c r="V223" s="728"/>
      <c r="W223" s="875"/>
      <c r="X223" s="888">
        <f t="shared" si="37"/>
        <v>100</v>
      </c>
      <c r="Y223" s="663"/>
      <c r="Z223" s="20"/>
      <c r="AA223" s="20"/>
      <c r="AB223" s="20"/>
      <c r="AC223" s="20"/>
      <c r="AD223" s="20"/>
      <c r="AE223" s="20"/>
      <c r="AF223" s="20"/>
      <c r="AG223" s="20"/>
      <c r="AH223" s="20"/>
      <c r="AI223" s="20"/>
      <c r="AJ223" s="33"/>
      <c r="AK223" s="34"/>
    </row>
    <row r="224" spans="1:37" s="35" customFormat="1" ht="48.75" customHeight="1" x14ac:dyDescent="0.2">
      <c r="A224" s="1253" t="s">
        <v>1768</v>
      </c>
      <c r="B224" s="674" t="s">
        <v>962</v>
      </c>
      <c r="C224" s="674" t="s">
        <v>963</v>
      </c>
      <c r="D224" s="735" t="s">
        <v>961</v>
      </c>
      <c r="E224" s="625"/>
      <c r="F224" s="626"/>
      <c r="G224" s="1127">
        <v>0.52631578947368418</v>
      </c>
      <c r="H224" s="662" t="s">
        <v>746</v>
      </c>
      <c r="I224" s="1381">
        <v>2</v>
      </c>
      <c r="J224" s="1340">
        <v>44256</v>
      </c>
      <c r="K224" s="1338">
        <v>44407</v>
      </c>
      <c r="L224" s="920"/>
      <c r="M224" s="728"/>
      <c r="N224" s="728">
        <v>50</v>
      </c>
      <c r="O224" s="728"/>
      <c r="P224" s="728"/>
      <c r="Q224" s="728"/>
      <c r="R224" s="728">
        <v>50</v>
      </c>
      <c r="S224" s="728"/>
      <c r="T224" s="728"/>
      <c r="U224" s="729"/>
      <c r="V224" s="728"/>
      <c r="W224" s="875"/>
      <c r="X224" s="888">
        <f t="shared" si="37"/>
        <v>100</v>
      </c>
      <c r="Y224" s="663"/>
      <c r="Z224" s="20"/>
      <c r="AA224" s="20"/>
      <c r="AB224" s="20"/>
      <c r="AC224" s="20"/>
      <c r="AD224" s="20"/>
      <c r="AE224" s="20"/>
      <c r="AF224" s="20"/>
      <c r="AG224" s="20"/>
      <c r="AH224" s="20"/>
      <c r="AI224" s="20"/>
      <c r="AJ224" s="33"/>
      <c r="AK224" s="34"/>
    </row>
    <row r="225" spans="1:37" s="35" customFormat="1" ht="51.75" customHeight="1" x14ac:dyDescent="0.2">
      <c r="A225" s="1253" t="s">
        <v>1769</v>
      </c>
      <c r="B225" s="640" t="s">
        <v>964</v>
      </c>
      <c r="C225" s="640" t="s">
        <v>965</v>
      </c>
      <c r="D225" s="735" t="s">
        <v>961</v>
      </c>
      <c r="E225" s="610"/>
      <c r="F225" s="505"/>
      <c r="G225" s="1127">
        <v>0.52631578947368418</v>
      </c>
      <c r="H225" s="662" t="s">
        <v>746</v>
      </c>
      <c r="I225" s="1353">
        <v>2</v>
      </c>
      <c r="J225" s="1340">
        <v>44228</v>
      </c>
      <c r="K225" s="1338">
        <v>44469</v>
      </c>
      <c r="L225" s="910"/>
      <c r="M225" s="717">
        <v>50</v>
      </c>
      <c r="N225" s="717"/>
      <c r="O225" s="717"/>
      <c r="P225" s="717"/>
      <c r="Q225" s="717"/>
      <c r="R225" s="717"/>
      <c r="S225" s="717"/>
      <c r="T225" s="717">
        <v>50</v>
      </c>
      <c r="U225" s="717"/>
      <c r="V225" s="717"/>
      <c r="W225" s="868"/>
      <c r="X225" s="888">
        <f t="shared" si="37"/>
        <v>100</v>
      </c>
      <c r="Y225" s="663"/>
      <c r="Z225" s="20"/>
      <c r="AA225" s="20"/>
      <c r="AB225" s="20"/>
      <c r="AC225" s="20"/>
      <c r="AD225" s="20"/>
      <c r="AE225" s="20"/>
      <c r="AF225" s="20"/>
      <c r="AG225" s="20"/>
      <c r="AH225" s="20"/>
      <c r="AI225" s="20"/>
      <c r="AJ225" s="33"/>
      <c r="AK225" s="34"/>
    </row>
    <row r="226" spans="1:37" s="35" customFormat="1" ht="66.75" customHeight="1" x14ac:dyDescent="0.2">
      <c r="A226" s="1253" t="s">
        <v>1770</v>
      </c>
      <c r="B226" s="640" t="s">
        <v>875</v>
      </c>
      <c r="C226" s="1002" t="s">
        <v>1982</v>
      </c>
      <c r="D226" s="735" t="s">
        <v>876</v>
      </c>
      <c r="E226" s="610"/>
      <c r="F226" s="505"/>
      <c r="G226" s="1127">
        <v>0.52631578947368418</v>
      </c>
      <c r="H226" s="662" t="s">
        <v>746</v>
      </c>
      <c r="I226" s="1353">
        <v>2</v>
      </c>
      <c r="J226" s="1340">
        <v>44200</v>
      </c>
      <c r="K226" s="1338">
        <v>44253</v>
      </c>
      <c r="L226" s="910">
        <v>50</v>
      </c>
      <c r="M226" s="717">
        <v>50</v>
      </c>
      <c r="N226" s="717"/>
      <c r="O226" s="717"/>
      <c r="P226" s="717"/>
      <c r="Q226" s="717"/>
      <c r="R226" s="717"/>
      <c r="S226" s="717"/>
      <c r="T226" s="717"/>
      <c r="U226" s="717"/>
      <c r="V226" s="717"/>
      <c r="W226" s="868"/>
      <c r="X226" s="888">
        <f t="shared" si="37"/>
        <v>100</v>
      </c>
      <c r="Y226" s="663"/>
      <c r="Z226" s="20"/>
      <c r="AA226" s="20"/>
      <c r="AB226" s="20"/>
      <c r="AC226" s="20"/>
      <c r="AD226" s="20"/>
      <c r="AE226" s="20"/>
      <c r="AF226" s="20"/>
      <c r="AG226" s="20"/>
      <c r="AH226" s="20"/>
      <c r="AI226" s="20"/>
      <c r="AJ226" s="33"/>
      <c r="AK226" s="34"/>
    </row>
    <row r="227" spans="1:37" s="35" customFormat="1" ht="85.5" customHeight="1" x14ac:dyDescent="0.2">
      <c r="A227" s="1253" t="s">
        <v>1771</v>
      </c>
      <c r="B227" s="640" t="s">
        <v>877</v>
      </c>
      <c r="C227" s="640" t="s">
        <v>878</v>
      </c>
      <c r="D227" s="735" t="s">
        <v>876</v>
      </c>
      <c r="E227" s="610"/>
      <c r="F227" s="505"/>
      <c r="G227" s="1127">
        <v>0.52631578947368418</v>
      </c>
      <c r="H227" s="662" t="s">
        <v>746</v>
      </c>
      <c r="I227" s="1353">
        <v>4</v>
      </c>
      <c r="J227" s="1340">
        <v>44256</v>
      </c>
      <c r="K227" s="1338">
        <v>44561</v>
      </c>
      <c r="L227" s="910"/>
      <c r="M227" s="717"/>
      <c r="N227" s="717">
        <v>50</v>
      </c>
      <c r="O227" s="717"/>
      <c r="P227" s="717"/>
      <c r="Q227" s="717"/>
      <c r="R227" s="717"/>
      <c r="S227" s="717"/>
      <c r="T227" s="717"/>
      <c r="U227" s="717"/>
      <c r="V227" s="717"/>
      <c r="W227" s="868">
        <v>50</v>
      </c>
      <c r="X227" s="888">
        <f t="shared" si="37"/>
        <v>100</v>
      </c>
      <c r="Y227" s="663"/>
      <c r="Z227" s="20"/>
      <c r="AA227" s="20"/>
      <c r="AB227" s="20"/>
      <c r="AC227" s="20"/>
      <c r="AD227" s="20"/>
      <c r="AE227" s="20"/>
      <c r="AF227" s="20"/>
      <c r="AG227" s="20"/>
      <c r="AH227" s="20"/>
      <c r="AI227" s="20"/>
      <c r="AJ227" s="33"/>
      <c r="AK227" s="34"/>
    </row>
    <row r="228" spans="1:37" s="35" customFormat="1" ht="54" customHeight="1" x14ac:dyDescent="0.2">
      <c r="A228" s="1253" t="s">
        <v>1772</v>
      </c>
      <c r="B228" s="640" t="s">
        <v>879</v>
      </c>
      <c r="C228" s="640" t="s">
        <v>880</v>
      </c>
      <c r="D228" s="735" t="s">
        <v>876</v>
      </c>
      <c r="E228" s="610"/>
      <c r="F228" s="505"/>
      <c r="G228" s="1127">
        <v>0.52631578947368418</v>
      </c>
      <c r="H228" s="662" t="s">
        <v>746</v>
      </c>
      <c r="I228" s="1353">
        <v>350</v>
      </c>
      <c r="J228" s="1340">
        <v>44200</v>
      </c>
      <c r="K228" s="1338">
        <v>44498</v>
      </c>
      <c r="L228" s="910">
        <v>4.5</v>
      </c>
      <c r="M228" s="717">
        <v>10</v>
      </c>
      <c r="N228" s="717">
        <v>10</v>
      </c>
      <c r="O228" s="717">
        <v>14.5</v>
      </c>
      <c r="P228" s="717">
        <v>15</v>
      </c>
      <c r="Q228" s="717">
        <v>10</v>
      </c>
      <c r="R228" s="717">
        <v>10</v>
      </c>
      <c r="S228" s="717">
        <v>10</v>
      </c>
      <c r="T228" s="717">
        <v>10</v>
      </c>
      <c r="U228" s="717">
        <v>6</v>
      </c>
      <c r="V228" s="717"/>
      <c r="W228" s="868"/>
      <c r="X228" s="888">
        <f t="shared" si="37"/>
        <v>100</v>
      </c>
      <c r="Y228" s="663"/>
      <c r="Z228" s="20"/>
      <c r="AA228" s="20"/>
      <c r="AB228" s="20"/>
      <c r="AC228" s="20"/>
      <c r="AD228" s="20"/>
      <c r="AE228" s="20"/>
      <c r="AF228" s="20"/>
      <c r="AG228" s="20"/>
      <c r="AH228" s="20"/>
      <c r="AI228" s="20"/>
      <c r="AJ228" s="33"/>
      <c r="AK228" s="34"/>
    </row>
    <row r="229" spans="1:37" s="35" customFormat="1" ht="91.5" customHeight="1" x14ac:dyDescent="0.2">
      <c r="A229" s="1253" t="s">
        <v>1773</v>
      </c>
      <c r="B229" s="640" t="s">
        <v>881</v>
      </c>
      <c r="C229" s="640" t="s">
        <v>882</v>
      </c>
      <c r="D229" s="735" t="s">
        <v>876</v>
      </c>
      <c r="E229" s="610"/>
      <c r="F229" s="505"/>
      <c r="G229" s="1127">
        <v>0.52631578947368418</v>
      </c>
      <c r="H229" s="662" t="s">
        <v>746</v>
      </c>
      <c r="I229" s="1353">
        <v>350</v>
      </c>
      <c r="J229" s="1340">
        <v>44228</v>
      </c>
      <c r="K229" s="1338">
        <v>44561</v>
      </c>
      <c r="L229" s="910"/>
      <c r="M229" s="717">
        <v>10</v>
      </c>
      <c r="N229" s="706">
        <v>12</v>
      </c>
      <c r="O229" s="706">
        <v>12</v>
      </c>
      <c r="P229" s="717">
        <v>12</v>
      </c>
      <c r="Q229" s="717">
        <v>12</v>
      </c>
      <c r="R229" s="717">
        <v>10</v>
      </c>
      <c r="S229" s="717">
        <v>10</v>
      </c>
      <c r="T229" s="717">
        <v>10</v>
      </c>
      <c r="U229" s="717">
        <v>7</v>
      </c>
      <c r="V229" s="717">
        <v>3</v>
      </c>
      <c r="W229" s="868">
        <v>2</v>
      </c>
      <c r="X229" s="888">
        <f t="shared" si="37"/>
        <v>100</v>
      </c>
      <c r="Y229" s="663"/>
      <c r="Z229" s="20"/>
      <c r="AA229" s="20"/>
      <c r="AB229" s="20"/>
      <c r="AC229" s="20"/>
      <c r="AD229" s="20"/>
      <c r="AE229" s="20"/>
      <c r="AF229" s="20"/>
      <c r="AG229" s="20"/>
      <c r="AH229" s="20"/>
      <c r="AI229" s="20"/>
      <c r="AJ229" s="33"/>
      <c r="AK229" s="34"/>
    </row>
    <row r="230" spans="1:37" s="35" customFormat="1" ht="54" customHeight="1" x14ac:dyDescent="0.2">
      <c r="A230" s="1253" t="s">
        <v>1774</v>
      </c>
      <c r="B230" s="640" t="s">
        <v>883</v>
      </c>
      <c r="C230" s="640" t="s">
        <v>884</v>
      </c>
      <c r="D230" s="735" t="s">
        <v>876</v>
      </c>
      <c r="E230" s="610"/>
      <c r="F230" s="505"/>
      <c r="G230" s="1127">
        <v>0.52631578947368418</v>
      </c>
      <c r="H230" s="662" t="s">
        <v>746</v>
      </c>
      <c r="I230" s="1353">
        <v>72</v>
      </c>
      <c r="J230" s="1340">
        <v>44228</v>
      </c>
      <c r="K230" s="1338">
        <v>44561</v>
      </c>
      <c r="L230" s="910"/>
      <c r="M230" s="717">
        <v>8.3000000000000007</v>
      </c>
      <c r="N230" s="706">
        <v>8.3000000000000007</v>
      </c>
      <c r="O230" s="706">
        <v>8.3000000000000007</v>
      </c>
      <c r="P230" s="717">
        <v>8.3000000000000007</v>
      </c>
      <c r="Q230" s="717">
        <v>8.3000000000000007</v>
      </c>
      <c r="R230" s="717">
        <v>8.3000000000000007</v>
      </c>
      <c r="S230" s="717">
        <v>8.3000000000000007</v>
      </c>
      <c r="T230" s="717">
        <v>8.3000000000000007</v>
      </c>
      <c r="U230" s="717">
        <v>8.3000000000000007</v>
      </c>
      <c r="V230" s="717">
        <v>8.3000000000000007</v>
      </c>
      <c r="W230" s="868">
        <v>17</v>
      </c>
      <c r="X230" s="888">
        <f t="shared" si="37"/>
        <v>99.999999999999986</v>
      </c>
      <c r="Y230" s="663"/>
      <c r="Z230" s="20"/>
      <c r="AA230" s="20"/>
      <c r="AB230" s="20"/>
      <c r="AC230" s="20"/>
      <c r="AD230" s="20"/>
      <c r="AE230" s="20"/>
      <c r="AF230" s="20"/>
      <c r="AG230" s="20"/>
      <c r="AH230" s="20"/>
      <c r="AI230" s="20"/>
      <c r="AJ230" s="33"/>
      <c r="AK230" s="34"/>
    </row>
    <row r="231" spans="1:37" s="35" customFormat="1" ht="54.75" customHeight="1" x14ac:dyDescent="0.2">
      <c r="A231" s="1253" t="s">
        <v>1775</v>
      </c>
      <c r="B231" s="640" t="s">
        <v>885</v>
      </c>
      <c r="C231" s="640" t="s">
        <v>886</v>
      </c>
      <c r="D231" s="735" t="s">
        <v>876</v>
      </c>
      <c r="E231" s="610"/>
      <c r="F231" s="505"/>
      <c r="G231" s="1127">
        <v>0.52631578947368418</v>
      </c>
      <c r="H231" s="662" t="s">
        <v>746</v>
      </c>
      <c r="I231" s="1353">
        <v>1</v>
      </c>
      <c r="J231" s="1340">
        <v>44410</v>
      </c>
      <c r="K231" s="1338">
        <v>44439</v>
      </c>
      <c r="L231" s="910"/>
      <c r="M231" s="717"/>
      <c r="N231" s="706"/>
      <c r="O231" s="706"/>
      <c r="P231" s="717"/>
      <c r="Q231" s="717"/>
      <c r="R231" s="717"/>
      <c r="S231" s="717">
        <v>100</v>
      </c>
      <c r="T231" s="717"/>
      <c r="U231" s="717"/>
      <c r="V231" s="717"/>
      <c r="W231" s="868"/>
      <c r="X231" s="888">
        <f t="shared" si="37"/>
        <v>100</v>
      </c>
      <c r="Y231" s="663"/>
      <c r="Z231" s="20"/>
      <c r="AA231" s="20"/>
      <c r="AB231" s="20"/>
      <c r="AC231" s="20"/>
      <c r="AD231" s="20"/>
      <c r="AE231" s="20"/>
      <c r="AF231" s="20"/>
      <c r="AG231" s="20"/>
      <c r="AH231" s="20"/>
      <c r="AI231" s="20"/>
      <c r="AJ231" s="33"/>
      <c r="AK231" s="34"/>
    </row>
    <row r="232" spans="1:37" s="35" customFormat="1" ht="50.25" customHeight="1" x14ac:dyDescent="0.2">
      <c r="A232" s="1253" t="s">
        <v>1776</v>
      </c>
      <c r="B232" s="678" t="s">
        <v>887</v>
      </c>
      <c r="C232" s="689" t="s">
        <v>1569</v>
      </c>
      <c r="D232" s="735" t="s">
        <v>876</v>
      </c>
      <c r="E232" s="627"/>
      <c r="F232" s="628"/>
      <c r="G232" s="1127">
        <v>0.52631578947368418</v>
      </c>
      <c r="H232" s="895" t="s">
        <v>746</v>
      </c>
      <c r="I232" s="1357">
        <v>1</v>
      </c>
      <c r="J232" s="937">
        <v>44200</v>
      </c>
      <c r="K232" s="1339">
        <v>44225</v>
      </c>
      <c r="L232" s="910">
        <v>100</v>
      </c>
      <c r="M232" s="717"/>
      <c r="N232" s="717"/>
      <c r="O232" s="717"/>
      <c r="P232" s="717"/>
      <c r="Q232" s="717"/>
      <c r="R232" s="717"/>
      <c r="S232" s="717"/>
      <c r="T232" s="717"/>
      <c r="U232" s="717"/>
      <c r="V232" s="717"/>
      <c r="W232" s="868"/>
      <c r="X232" s="888">
        <f t="shared" si="37"/>
        <v>100</v>
      </c>
      <c r="Y232" s="663"/>
      <c r="Z232" s="20"/>
      <c r="AA232" s="20"/>
      <c r="AB232" s="20"/>
      <c r="AC232" s="20"/>
      <c r="AD232" s="20"/>
      <c r="AE232" s="20"/>
      <c r="AF232" s="20"/>
      <c r="AG232" s="20"/>
      <c r="AH232" s="20"/>
      <c r="AI232" s="20"/>
      <c r="AJ232" s="33"/>
      <c r="AK232" s="34"/>
    </row>
    <row r="233" spans="1:37" s="35" customFormat="1" ht="117" customHeight="1" x14ac:dyDescent="0.2">
      <c r="A233" s="1253" t="s">
        <v>1777</v>
      </c>
      <c r="B233" s="674" t="s">
        <v>888</v>
      </c>
      <c r="C233" s="674" t="s">
        <v>889</v>
      </c>
      <c r="D233" s="734" t="s">
        <v>890</v>
      </c>
      <c r="E233" s="629"/>
      <c r="F233" s="630"/>
      <c r="G233" s="1127">
        <v>0.52631578947368418</v>
      </c>
      <c r="H233" s="897" t="s">
        <v>891</v>
      </c>
      <c r="I233" s="1381">
        <v>550</v>
      </c>
      <c r="J233" s="1340">
        <v>44228</v>
      </c>
      <c r="K233" s="1338">
        <v>44561</v>
      </c>
      <c r="L233" s="920"/>
      <c r="M233" s="728">
        <v>0.3</v>
      </c>
      <c r="N233" s="728">
        <f>4*100/I233</f>
        <v>0.72727272727272729</v>
      </c>
      <c r="O233" s="728">
        <f>54*100/I233</f>
        <v>9.8181818181818183</v>
      </c>
      <c r="P233" s="728">
        <f>58*100/I233</f>
        <v>10.545454545454545</v>
      </c>
      <c r="Q233" s="728">
        <f>65*100/I233</f>
        <v>11.818181818181818</v>
      </c>
      <c r="R233" s="728">
        <f>50*100/I233</f>
        <v>9.0909090909090917</v>
      </c>
      <c r="S233" s="728">
        <f>55*100/I233</f>
        <v>10</v>
      </c>
      <c r="T233" s="728">
        <f>56*100/I233</f>
        <v>10.181818181818182</v>
      </c>
      <c r="U233" s="728">
        <f>60*100/I233</f>
        <v>10.909090909090908</v>
      </c>
      <c r="V233" s="728">
        <f>70*100/I233</f>
        <v>12.727272727272727</v>
      </c>
      <c r="W233" s="877">
        <f>75*100/I233</f>
        <v>13.636363636363637</v>
      </c>
      <c r="X233" s="888">
        <f t="shared" ref="X233:X309" si="38">+SUM(L233:W233)</f>
        <v>99.754545454545465</v>
      </c>
      <c r="Y233" s="663"/>
      <c r="Z233" s="20"/>
      <c r="AA233" s="20"/>
      <c r="AB233" s="20"/>
      <c r="AC233" s="20"/>
      <c r="AD233" s="20"/>
      <c r="AE233" s="20"/>
      <c r="AF233" s="20"/>
      <c r="AG233" s="20"/>
      <c r="AH233" s="20"/>
      <c r="AI233" s="20"/>
      <c r="AJ233" s="33"/>
      <c r="AK233" s="34"/>
    </row>
    <row r="234" spans="1:37" s="35" customFormat="1" ht="64.5" customHeight="1" x14ac:dyDescent="0.2">
      <c r="A234" s="1253" t="s">
        <v>1778</v>
      </c>
      <c r="B234" s="640" t="s">
        <v>892</v>
      </c>
      <c r="C234" s="1002" t="s">
        <v>893</v>
      </c>
      <c r="D234" s="734" t="s">
        <v>894</v>
      </c>
      <c r="E234" s="610"/>
      <c r="F234" s="505"/>
      <c r="G234" s="1127">
        <v>0.52631578947368418</v>
      </c>
      <c r="H234" s="662" t="s">
        <v>891</v>
      </c>
      <c r="I234" s="1353">
        <v>4</v>
      </c>
      <c r="J234" s="1340">
        <v>44256</v>
      </c>
      <c r="K234" s="1338">
        <v>44561</v>
      </c>
      <c r="L234" s="910"/>
      <c r="M234" s="717"/>
      <c r="N234" s="717">
        <f>2*100/I234</f>
        <v>50</v>
      </c>
      <c r="O234" s="717"/>
      <c r="P234" s="717"/>
      <c r="Q234" s="717"/>
      <c r="R234" s="717"/>
      <c r="S234" s="717"/>
      <c r="T234" s="717"/>
      <c r="U234" s="717"/>
      <c r="V234" s="717"/>
      <c r="W234" s="868">
        <f>2*100/I234</f>
        <v>50</v>
      </c>
      <c r="X234" s="888">
        <f t="shared" si="38"/>
        <v>100</v>
      </c>
      <c r="Y234" s="663"/>
      <c r="Z234" s="20"/>
      <c r="AA234" s="20"/>
      <c r="AB234" s="20"/>
      <c r="AC234" s="20"/>
      <c r="AD234" s="20"/>
      <c r="AE234" s="20"/>
      <c r="AF234" s="20"/>
      <c r="AG234" s="20"/>
      <c r="AH234" s="20"/>
      <c r="AI234" s="20"/>
      <c r="AJ234" s="33"/>
      <c r="AK234" s="34"/>
    </row>
    <row r="235" spans="1:37" s="35" customFormat="1" ht="63.75" customHeight="1" x14ac:dyDescent="0.2">
      <c r="A235" s="1253" t="s">
        <v>1779</v>
      </c>
      <c r="B235" s="640" t="s">
        <v>895</v>
      </c>
      <c r="C235" s="640" t="s">
        <v>896</v>
      </c>
      <c r="D235" s="734" t="s">
        <v>897</v>
      </c>
      <c r="E235" s="610"/>
      <c r="F235" s="505"/>
      <c r="G235" s="1127">
        <v>0.52631578947368418</v>
      </c>
      <c r="H235" s="662" t="s">
        <v>898</v>
      </c>
      <c r="I235" s="1353">
        <v>6</v>
      </c>
      <c r="J235" s="1340">
        <v>44200</v>
      </c>
      <c r="K235" s="1338">
        <v>44530</v>
      </c>
      <c r="L235" s="910">
        <f>1*100/I235</f>
        <v>16.666666666666668</v>
      </c>
      <c r="M235" s="717"/>
      <c r="N235" s="717">
        <f>1*100/I235</f>
        <v>16.666666666666668</v>
      </c>
      <c r="O235" s="717"/>
      <c r="P235" s="717">
        <f>1*100/I235</f>
        <v>16.666666666666668</v>
      </c>
      <c r="Q235" s="717"/>
      <c r="R235" s="717">
        <f>1*100/I235</f>
        <v>16.666666666666668</v>
      </c>
      <c r="S235" s="717"/>
      <c r="T235" s="717">
        <f>1*100/I235</f>
        <v>16.666666666666668</v>
      </c>
      <c r="U235" s="717"/>
      <c r="V235" s="717">
        <f>1*100/I235</f>
        <v>16.666666666666668</v>
      </c>
      <c r="W235" s="868"/>
      <c r="X235" s="888">
        <f t="shared" si="38"/>
        <v>100.00000000000001</v>
      </c>
      <c r="Y235" s="663"/>
      <c r="Z235" s="20"/>
      <c r="AA235" s="20"/>
      <c r="AB235" s="20"/>
      <c r="AC235" s="20"/>
      <c r="AD235" s="20"/>
      <c r="AE235" s="20"/>
      <c r="AF235" s="20"/>
      <c r="AG235" s="20"/>
      <c r="AH235" s="20"/>
      <c r="AI235" s="20"/>
      <c r="AJ235" s="33"/>
      <c r="AK235" s="34"/>
    </row>
    <row r="236" spans="1:37" s="35" customFormat="1" ht="52.5" customHeight="1" x14ac:dyDescent="0.2">
      <c r="A236" s="1253" t="s">
        <v>1780</v>
      </c>
      <c r="B236" s="640" t="s">
        <v>899</v>
      </c>
      <c r="C236" s="640" t="s">
        <v>900</v>
      </c>
      <c r="D236" s="734" t="s">
        <v>901</v>
      </c>
      <c r="E236" s="610"/>
      <c r="F236" s="505"/>
      <c r="G236" s="1127">
        <v>0.52631578947368418</v>
      </c>
      <c r="H236" s="662" t="s">
        <v>898</v>
      </c>
      <c r="I236" s="1353">
        <v>4</v>
      </c>
      <c r="J236" s="1340">
        <v>44348</v>
      </c>
      <c r="K236" s="1338">
        <v>44530</v>
      </c>
      <c r="L236" s="910"/>
      <c r="M236" s="717"/>
      <c r="N236" s="717"/>
      <c r="O236" s="717"/>
      <c r="P236" s="717"/>
      <c r="Q236" s="717">
        <f>2*100/I236</f>
        <v>50</v>
      </c>
      <c r="R236" s="717"/>
      <c r="S236" s="717"/>
      <c r="T236" s="717"/>
      <c r="U236" s="717"/>
      <c r="V236" s="717">
        <f>2*100/I236</f>
        <v>50</v>
      </c>
      <c r="W236" s="868"/>
      <c r="X236" s="888">
        <f t="shared" si="38"/>
        <v>100</v>
      </c>
      <c r="Y236" s="663"/>
      <c r="Z236" s="20"/>
      <c r="AA236" s="20"/>
      <c r="AB236" s="20"/>
      <c r="AC236" s="20"/>
      <c r="AD236" s="20"/>
      <c r="AE236" s="20"/>
      <c r="AF236" s="20"/>
      <c r="AG236" s="20"/>
      <c r="AH236" s="20"/>
      <c r="AI236" s="20"/>
      <c r="AJ236" s="33"/>
      <c r="AK236" s="34"/>
    </row>
    <row r="237" spans="1:37" s="35" customFormat="1" ht="43.5" customHeight="1" x14ac:dyDescent="0.2">
      <c r="A237" s="1253" t="s">
        <v>1781</v>
      </c>
      <c r="B237" s="640" t="s">
        <v>902</v>
      </c>
      <c r="C237" s="640" t="s">
        <v>903</v>
      </c>
      <c r="D237" s="734" t="s">
        <v>904</v>
      </c>
      <c r="E237" s="610"/>
      <c r="F237" s="505"/>
      <c r="G237" s="1127">
        <v>0.52631578947368418</v>
      </c>
      <c r="H237" s="662" t="s">
        <v>905</v>
      </c>
      <c r="I237" s="1353">
        <v>1</v>
      </c>
      <c r="J237" s="1340">
        <v>44200</v>
      </c>
      <c r="K237" s="1338">
        <v>44225</v>
      </c>
      <c r="L237" s="910">
        <f>1*100/I237</f>
        <v>100</v>
      </c>
      <c r="M237" s="717"/>
      <c r="N237" s="706"/>
      <c r="O237" s="706"/>
      <c r="P237" s="717"/>
      <c r="Q237" s="717"/>
      <c r="R237" s="717"/>
      <c r="S237" s="717"/>
      <c r="T237" s="717"/>
      <c r="U237" s="717"/>
      <c r="V237" s="717"/>
      <c r="W237" s="868"/>
      <c r="X237" s="888">
        <f t="shared" si="38"/>
        <v>100</v>
      </c>
      <c r="Y237" s="663"/>
      <c r="Z237" s="20"/>
      <c r="AA237" s="20"/>
      <c r="AB237" s="20"/>
      <c r="AC237" s="20"/>
      <c r="AD237" s="20"/>
      <c r="AE237" s="20"/>
      <c r="AF237" s="20"/>
      <c r="AG237" s="20"/>
      <c r="AH237" s="20"/>
      <c r="AI237" s="20"/>
      <c r="AJ237" s="33"/>
      <c r="AK237" s="34"/>
    </row>
    <row r="238" spans="1:37" s="35" customFormat="1" ht="54" customHeight="1" x14ac:dyDescent="0.2">
      <c r="A238" s="1253" t="s">
        <v>1782</v>
      </c>
      <c r="B238" s="674" t="s">
        <v>1551</v>
      </c>
      <c r="C238" s="674" t="s">
        <v>906</v>
      </c>
      <c r="D238" s="734" t="s">
        <v>907</v>
      </c>
      <c r="E238" s="631"/>
      <c r="F238" s="632"/>
      <c r="G238" s="1127">
        <v>0.52631578947368418</v>
      </c>
      <c r="H238" s="897" t="s">
        <v>908</v>
      </c>
      <c r="I238" s="1381">
        <v>2</v>
      </c>
      <c r="J238" s="1340">
        <v>44200</v>
      </c>
      <c r="K238" s="1338">
        <v>44377</v>
      </c>
      <c r="L238" s="920">
        <v>50</v>
      </c>
      <c r="M238" s="728"/>
      <c r="N238" s="728"/>
      <c r="O238" s="728"/>
      <c r="P238" s="728"/>
      <c r="Q238" s="728">
        <v>50</v>
      </c>
      <c r="R238" s="728"/>
      <c r="S238" s="728"/>
      <c r="T238" s="728"/>
      <c r="U238" s="728"/>
      <c r="V238" s="728"/>
      <c r="W238" s="877"/>
      <c r="X238" s="888">
        <f t="shared" si="38"/>
        <v>100</v>
      </c>
      <c r="Y238" s="663"/>
      <c r="Z238" s="20"/>
      <c r="AA238" s="20"/>
      <c r="AB238" s="20"/>
      <c r="AC238" s="20"/>
      <c r="AD238" s="20"/>
      <c r="AE238" s="20"/>
      <c r="AF238" s="20"/>
      <c r="AG238" s="20"/>
      <c r="AH238" s="20"/>
      <c r="AI238" s="20"/>
      <c r="AJ238" s="33"/>
      <c r="AK238" s="34"/>
    </row>
    <row r="239" spans="1:37" s="35" customFormat="1" ht="87.75" customHeight="1" x14ac:dyDescent="0.2">
      <c r="A239" s="1253" t="s">
        <v>1783</v>
      </c>
      <c r="B239" s="640" t="s">
        <v>909</v>
      </c>
      <c r="C239" s="640" t="s">
        <v>910</v>
      </c>
      <c r="D239" s="734" t="s">
        <v>907</v>
      </c>
      <c r="E239" s="633"/>
      <c r="F239" s="632"/>
      <c r="G239" s="1127">
        <v>0.52631578947368418</v>
      </c>
      <c r="H239" s="662" t="s">
        <v>911</v>
      </c>
      <c r="I239" s="1353">
        <v>672</v>
      </c>
      <c r="J239" s="1340">
        <v>44200</v>
      </c>
      <c r="K239" s="1338">
        <v>44561</v>
      </c>
      <c r="L239" s="920">
        <v>8.3000000000000007</v>
      </c>
      <c r="M239" s="728">
        <v>8.3000000000000007</v>
      </c>
      <c r="N239" s="728">
        <v>8.3000000000000007</v>
      </c>
      <c r="O239" s="728">
        <v>8.3000000000000007</v>
      </c>
      <c r="P239" s="728">
        <v>8.3000000000000007</v>
      </c>
      <c r="Q239" s="728">
        <v>8.3000000000000007</v>
      </c>
      <c r="R239" s="728">
        <v>8.3000000000000007</v>
      </c>
      <c r="S239" s="728">
        <v>8.3000000000000007</v>
      </c>
      <c r="T239" s="728">
        <v>8.3000000000000007</v>
      </c>
      <c r="U239" s="728">
        <v>8.3000000000000007</v>
      </c>
      <c r="V239" s="728">
        <v>8.3000000000000007</v>
      </c>
      <c r="W239" s="877">
        <v>8.3000000000000007</v>
      </c>
      <c r="X239" s="888">
        <f t="shared" si="38"/>
        <v>99.59999999999998</v>
      </c>
      <c r="Y239" s="663"/>
      <c r="Z239" s="20"/>
      <c r="AA239" s="20"/>
      <c r="AB239" s="20"/>
      <c r="AC239" s="20"/>
      <c r="AD239" s="20"/>
      <c r="AE239" s="20"/>
      <c r="AF239" s="20"/>
      <c r="AG239" s="20"/>
      <c r="AH239" s="20"/>
      <c r="AI239" s="20"/>
      <c r="AJ239" s="33"/>
      <c r="AK239" s="34"/>
    </row>
    <row r="240" spans="1:37" s="35" customFormat="1" ht="97.5" customHeight="1" x14ac:dyDescent="0.2">
      <c r="A240" s="1253" t="s">
        <v>1784</v>
      </c>
      <c r="B240" s="640" t="s">
        <v>912</v>
      </c>
      <c r="C240" s="640" t="s">
        <v>1983</v>
      </c>
      <c r="D240" s="734" t="s">
        <v>907</v>
      </c>
      <c r="E240" s="633"/>
      <c r="F240" s="632"/>
      <c r="G240" s="1127">
        <v>0.52631578947368418</v>
      </c>
      <c r="H240" s="662" t="s">
        <v>746</v>
      </c>
      <c r="I240" s="1353">
        <v>11</v>
      </c>
      <c r="J240" s="1340">
        <v>44228</v>
      </c>
      <c r="K240" s="1338">
        <v>44561</v>
      </c>
      <c r="L240" s="910"/>
      <c r="M240" s="717">
        <v>9.1</v>
      </c>
      <c r="N240" s="717">
        <v>9.1</v>
      </c>
      <c r="O240" s="717">
        <v>9.1</v>
      </c>
      <c r="P240" s="717">
        <v>9.1</v>
      </c>
      <c r="Q240" s="717">
        <v>9.1</v>
      </c>
      <c r="R240" s="717">
        <v>9.1</v>
      </c>
      <c r="S240" s="717">
        <v>9.1</v>
      </c>
      <c r="T240" s="717">
        <v>9.1</v>
      </c>
      <c r="U240" s="717">
        <v>9.1</v>
      </c>
      <c r="V240" s="717">
        <v>9.1</v>
      </c>
      <c r="W240" s="868">
        <v>9.1</v>
      </c>
      <c r="X240" s="888">
        <f t="shared" si="38"/>
        <v>100.09999999999998</v>
      </c>
      <c r="Y240" s="663"/>
      <c r="Z240" s="20"/>
      <c r="AA240" s="20"/>
      <c r="AB240" s="20"/>
      <c r="AC240" s="20"/>
      <c r="AD240" s="20"/>
      <c r="AE240" s="20"/>
      <c r="AF240" s="20"/>
      <c r="AG240" s="20"/>
      <c r="AH240" s="20"/>
      <c r="AI240" s="20"/>
      <c r="AJ240" s="33"/>
      <c r="AK240" s="34"/>
    </row>
    <row r="241" spans="1:37" s="35" customFormat="1" ht="65.25" customHeight="1" x14ac:dyDescent="0.2">
      <c r="A241" s="1253" t="s">
        <v>1785</v>
      </c>
      <c r="B241" s="640" t="s">
        <v>1353</v>
      </c>
      <c r="C241" s="640" t="s">
        <v>913</v>
      </c>
      <c r="D241" s="734" t="s">
        <v>907</v>
      </c>
      <c r="E241" s="633"/>
      <c r="F241" s="632"/>
      <c r="G241" s="1127">
        <v>0.52631578947368418</v>
      </c>
      <c r="H241" s="662" t="s">
        <v>746</v>
      </c>
      <c r="I241" s="1353">
        <v>11</v>
      </c>
      <c r="J241" s="1340">
        <v>44228</v>
      </c>
      <c r="K241" s="1338">
        <v>44561</v>
      </c>
      <c r="L241" s="910"/>
      <c r="M241" s="717">
        <v>9.1</v>
      </c>
      <c r="N241" s="717">
        <v>9.1</v>
      </c>
      <c r="O241" s="717">
        <v>9.1</v>
      </c>
      <c r="P241" s="717">
        <v>9.1</v>
      </c>
      <c r="Q241" s="717">
        <v>9.1</v>
      </c>
      <c r="R241" s="717">
        <v>9.1</v>
      </c>
      <c r="S241" s="717">
        <v>9.1</v>
      </c>
      <c r="T241" s="717">
        <v>9.1</v>
      </c>
      <c r="U241" s="717">
        <v>9.1</v>
      </c>
      <c r="V241" s="717">
        <v>9.1</v>
      </c>
      <c r="W241" s="868">
        <v>9.1</v>
      </c>
      <c r="X241" s="888">
        <f t="shared" si="38"/>
        <v>100.09999999999998</v>
      </c>
      <c r="Y241" s="663"/>
      <c r="Z241" s="20"/>
      <c r="AA241" s="20"/>
      <c r="AB241" s="20"/>
      <c r="AC241" s="20"/>
      <c r="AD241" s="20"/>
      <c r="AE241" s="20"/>
      <c r="AF241" s="20"/>
      <c r="AG241" s="20"/>
      <c r="AH241" s="20"/>
      <c r="AI241" s="20"/>
      <c r="AJ241" s="33"/>
      <c r="AK241" s="34"/>
    </row>
    <row r="242" spans="1:37" s="35" customFormat="1" ht="55.5" customHeight="1" x14ac:dyDescent="0.2">
      <c r="A242" s="1253" t="s">
        <v>1786</v>
      </c>
      <c r="B242" s="640" t="s">
        <v>914</v>
      </c>
      <c r="C242" s="640" t="s">
        <v>1984</v>
      </c>
      <c r="D242" s="734" t="s">
        <v>907</v>
      </c>
      <c r="E242" s="633"/>
      <c r="F242" s="632"/>
      <c r="G242" s="1127">
        <v>0.52631578947368418</v>
      </c>
      <c r="H242" s="662" t="s">
        <v>780</v>
      </c>
      <c r="I242" s="1353">
        <v>11</v>
      </c>
      <c r="J242" s="1340">
        <v>44228</v>
      </c>
      <c r="K242" s="1338">
        <v>44561</v>
      </c>
      <c r="L242" s="910"/>
      <c r="M242" s="717">
        <v>9.1</v>
      </c>
      <c r="N242" s="717">
        <v>9.1</v>
      </c>
      <c r="O242" s="717">
        <v>9.1</v>
      </c>
      <c r="P242" s="717">
        <v>9.1</v>
      </c>
      <c r="Q242" s="717">
        <v>9.1</v>
      </c>
      <c r="R242" s="717">
        <v>9.1</v>
      </c>
      <c r="S242" s="717">
        <v>9.1</v>
      </c>
      <c r="T242" s="717">
        <v>9.1</v>
      </c>
      <c r="U242" s="717">
        <v>9.1</v>
      </c>
      <c r="V242" s="717">
        <v>9.1</v>
      </c>
      <c r="W242" s="868">
        <v>9.1</v>
      </c>
      <c r="X242" s="888">
        <f t="shared" si="38"/>
        <v>100.09999999999998</v>
      </c>
      <c r="Y242" s="663"/>
      <c r="Z242" s="20"/>
      <c r="AA242" s="20"/>
      <c r="AB242" s="20"/>
      <c r="AC242" s="20"/>
      <c r="AD242" s="20"/>
      <c r="AE242" s="20"/>
      <c r="AF242" s="20"/>
      <c r="AG242" s="20"/>
      <c r="AH242" s="20"/>
      <c r="AI242" s="20"/>
      <c r="AJ242" s="33"/>
      <c r="AK242" s="34"/>
    </row>
    <row r="243" spans="1:37" s="35" customFormat="1" ht="62.25" customHeight="1" x14ac:dyDescent="0.2">
      <c r="A243" s="1253" t="s">
        <v>1896</v>
      </c>
      <c r="B243" s="640" t="s">
        <v>915</v>
      </c>
      <c r="C243" s="640" t="s">
        <v>916</v>
      </c>
      <c r="D243" s="734" t="s">
        <v>907</v>
      </c>
      <c r="E243" s="633"/>
      <c r="F243" s="632"/>
      <c r="G243" s="1127">
        <v>0.52631578947368418</v>
      </c>
      <c r="H243" s="662" t="s">
        <v>688</v>
      </c>
      <c r="I243" s="1353">
        <v>4</v>
      </c>
      <c r="J243" s="1340">
        <v>44256</v>
      </c>
      <c r="K243" s="1338">
        <v>44560</v>
      </c>
      <c r="L243" s="910"/>
      <c r="M243" s="717"/>
      <c r="N243" s="717">
        <v>50</v>
      </c>
      <c r="O243" s="717"/>
      <c r="P243" s="717"/>
      <c r="Q243" s="717"/>
      <c r="R243" s="717"/>
      <c r="S243" s="717"/>
      <c r="T243" s="717"/>
      <c r="U243" s="717"/>
      <c r="V243" s="717"/>
      <c r="W243" s="868">
        <v>50</v>
      </c>
      <c r="X243" s="888">
        <f t="shared" si="38"/>
        <v>100</v>
      </c>
      <c r="Y243" s="663"/>
      <c r="Z243" s="20"/>
      <c r="AA243" s="20"/>
      <c r="AB243" s="20"/>
      <c r="AC243" s="20"/>
      <c r="AD243" s="20"/>
      <c r="AE243" s="20"/>
      <c r="AF243" s="20"/>
      <c r="AG243" s="20"/>
      <c r="AH243" s="20"/>
      <c r="AI243" s="20"/>
      <c r="AJ243" s="33"/>
      <c r="AK243" s="34"/>
    </row>
    <row r="244" spans="1:37" s="35" customFormat="1" ht="57.75" customHeight="1" x14ac:dyDescent="0.2">
      <c r="A244" s="1253" t="s">
        <v>1897</v>
      </c>
      <c r="B244" s="940" t="s">
        <v>917</v>
      </c>
      <c r="C244" s="940" t="s">
        <v>918</v>
      </c>
      <c r="D244" s="941" t="s">
        <v>907</v>
      </c>
      <c r="E244" s="942"/>
      <c r="F244" s="943"/>
      <c r="G244" s="1127">
        <v>0.52631578947368418</v>
      </c>
      <c r="H244" s="944" t="s">
        <v>919</v>
      </c>
      <c r="I244" s="1382">
        <v>1</v>
      </c>
      <c r="J244" s="1341">
        <v>44200</v>
      </c>
      <c r="K244" s="1342">
        <v>44227</v>
      </c>
      <c r="L244" s="921">
        <v>100</v>
      </c>
      <c r="M244" s="736"/>
      <c r="N244" s="737"/>
      <c r="O244" s="737"/>
      <c r="P244" s="736"/>
      <c r="Q244" s="736"/>
      <c r="R244" s="736"/>
      <c r="S244" s="736"/>
      <c r="T244" s="736"/>
      <c r="U244" s="736"/>
      <c r="V244" s="736"/>
      <c r="W244" s="878"/>
      <c r="X244" s="1214">
        <f t="shared" si="38"/>
        <v>100</v>
      </c>
      <c r="Y244" s="663"/>
      <c r="Z244" s="20"/>
      <c r="AA244" s="20"/>
      <c r="AB244" s="20"/>
      <c r="AC244" s="20"/>
      <c r="AD244" s="20"/>
      <c r="AE244" s="20"/>
      <c r="AF244" s="20"/>
      <c r="AG244" s="20"/>
      <c r="AH244" s="20"/>
      <c r="AI244" s="20"/>
      <c r="AJ244" s="33"/>
      <c r="AK244" s="34"/>
    </row>
    <row r="245" spans="1:37" s="35" customFormat="1" ht="57.75" customHeight="1" thickBot="1" x14ac:dyDescent="0.25">
      <c r="A245" s="1253" t="s">
        <v>2070</v>
      </c>
      <c r="B245" s="1427" t="s">
        <v>2038</v>
      </c>
      <c r="C245" s="1427" t="s">
        <v>2039</v>
      </c>
      <c r="D245" s="1426" t="s">
        <v>2063</v>
      </c>
      <c r="E245" s="1428"/>
      <c r="F245" s="1429"/>
      <c r="G245" s="1127">
        <v>0.52631578947368418</v>
      </c>
      <c r="H245" s="1424" t="s">
        <v>2027</v>
      </c>
      <c r="I245" s="1445">
        <v>3</v>
      </c>
      <c r="J245" s="1442">
        <v>44228</v>
      </c>
      <c r="K245" s="1443">
        <v>44255</v>
      </c>
      <c r="L245" s="1430"/>
      <c r="M245" s="1431">
        <f>3*100/I245</f>
        <v>100</v>
      </c>
      <c r="N245" s="1431"/>
      <c r="O245" s="1431"/>
      <c r="P245" s="1431"/>
      <c r="Q245" s="1431"/>
      <c r="R245" s="1431"/>
      <c r="S245" s="1431"/>
      <c r="T245" s="1431"/>
      <c r="U245" s="1431"/>
      <c r="V245" s="1431"/>
      <c r="W245" s="1432"/>
      <c r="X245" s="1425">
        <f t="shared" si="38"/>
        <v>100</v>
      </c>
      <c r="Y245" s="663"/>
      <c r="Z245" s="20"/>
      <c r="AA245" s="20"/>
      <c r="AB245" s="20"/>
      <c r="AC245" s="20"/>
      <c r="AD245" s="20"/>
      <c r="AE245" s="20"/>
      <c r="AF245" s="20"/>
      <c r="AG245" s="20"/>
      <c r="AH245" s="20"/>
      <c r="AI245" s="20"/>
      <c r="AJ245" s="33"/>
      <c r="AK245" s="34"/>
    </row>
    <row r="246" spans="1:37" s="35" customFormat="1" ht="65.25" customHeight="1" thickBot="1" x14ac:dyDescent="0.25">
      <c r="A246" s="1253" t="s">
        <v>2071</v>
      </c>
      <c r="B246" s="1427" t="s">
        <v>2040</v>
      </c>
      <c r="C246" s="1427" t="s">
        <v>2041</v>
      </c>
      <c r="D246" s="1426" t="s">
        <v>2064</v>
      </c>
      <c r="E246" s="1428"/>
      <c r="F246" s="1433"/>
      <c r="G246" s="1127">
        <v>0.52631578947368418</v>
      </c>
      <c r="H246" s="1424" t="s">
        <v>2028</v>
      </c>
      <c r="I246" s="1445">
        <v>2</v>
      </c>
      <c r="J246" s="1442">
        <v>44318</v>
      </c>
      <c r="K246" s="1443">
        <v>44346</v>
      </c>
      <c r="L246" s="1434"/>
      <c r="M246" s="1431"/>
      <c r="N246" s="1431"/>
      <c r="O246" s="1431"/>
      <c r="P246" s="1431">
        <f>2*100/I246</f>
        <v>100</v>
      </c>
      <c r="Q246" s="1431"/>
      <c r="R246" s="1431"/>
      <c r="S246" s="1431"/>
      <c r="T246" s="1431"/>
      <c r="U246" s="1431"/>
      <c r="V246" s="1435"/>
      <c r="W246" s="1432"/>
      <c r="X246" s="1425">
        <f t="shared" si="38"/>
        <v>100</v>
      </c>
      <c r="Y246" s="663"/>
      <c r="Z246" s="20"/>
      <c r="AA246" s="20"/>
      <c r="AB246" s="20"/>
      <c r="AC246" s="20"/>
      <c r="AD246" s="20"/>
      <c r="AE246" s="20"/>
      <c r="AF246" s="20"/>
      <c r="AG246" s="20"/>
      <c r="AH246" s="20"/>
      <c r="AI246" s="20"/>
      <c r="AJ246" s="33"/>
      <c r="AK246" s="34"/>
    </row>
    <row r="247" spans="1:37" s="35" customFormat="1" ht="57.75" customHeight="1" thickBot="1" x14ac:dyDescent="0.25">
      <c r="A247" s="1253" t="s">
        <v>2072</v>
      </c>
      <c r="B247" s="1427" t="s">
        <v>2042</v>
      </c>
      <c r="C247" s="1427" t="s">
        <v>2043</v>
      </c>
      <c r="D247" s="1426" t="s">
        <v>2065</v>
      </c>
      <c r="E247" s="1428"/>
      <c r="F247" s="1433"/>
      <c r="G247" s="1127">
        <v>0.52631578947368418</v>
      </c>
      <c r="H247" s="1424" t="s">
        <v>2029</v>
      </c>
      <c r="I247" s="1445">
        <v>40</v>
      </c>
      <c r="J247" s="1442">
        <v>44198</v>
      </c>
      <c r="K247" s="1443">
        <v>44561</v>
      </c>
      <c r="L247" s="1434">
        <f>2*100/+I247</f>
        <v>5</v>
      </c>
      <c r="M247" s="1431">
        <f>3*100/I247</f>
        <v>7.5</v>
      </c>
      <c r="N247" s="1431">
        <f>3*100/I247</f>
        <v>7.5</v>
      </c>
      <c r="O247" s="1431">
        <f>3*100/I247</f>
        <v>7.5</v>
      </c>
      <c r="P247" s="1431">
        <f>5*100/I247</f>
        <v>12.5</v>
      </c>
      <c r="Q247" s="1431">
        <f>3*100/I247</f>
        <v>7.5</v>
      </c>
      <c r="R247" s="1431">
        <f>3*100/I247</f>
        <v>7.5</v>
      </c>
      <c r="S247" s="1431">
        <f>3*100/I247</f>
        <v>7.5</v>
      </c>
      <c r="T247" s="1431">
        <f>3*100/I247</f>
        <v>7.5</v>
      </c>
      <c r="U247" s="1431">
        <f>3*100/I247</f>
        <v>7.5</v>
      </c>
      <c r="V247" s="1431">
        <f>3*100/I247</f>
        <v>7.5</v>
      </c>
      <c r="W247" s="1436">
        <f>6*100/I247</f>
        <v>15</v>
      </c>
      <c r="X247" s="1425">
        <f t="shared" si="38"/>
        <v>100</v>
      </c>
      <c r="Y247" s="663"/>
      <c r="Z247" s="20"/>
      <c r="AA247" s="20"/>
      <c r="AB247" s="20"/>
      <c r="AC247" s="20"/>
      <c r="AD247" s="20"/>
      <c r="AE247" s="20"/>
      <c r="AF247" s="20"/>
      <c r="AG247" s="20"/>
      <c r="AH247" s="20"/>
      <c r="AI247" s="20"/>
      <c r="AJ247" s="33"/>
      <c r="AK247" s="34"/>
    </row>
    <row r="248" spans="1:37" s="35" customFormat="1" ht="72.75" customHeight="1" thickBot="1" x14ac:dyDescent="0.25">
      <c r="A248" s="1253" t="s">
        <v>2073</v>
      </c>
      <c r="B248" s="1427" t="s">
        <v>2044</v>
      </c>
      <c r="C248" s="1427" t="s">
        <v>2045</v>
      </c>
      <c r="D248" s="1426" t="s">
        <v>2063</v>
      </c>
      <c r="E248" s="1428"/>
      <c r="F248" s="1433"/>
      <c r="G248" s="1127">
        <v>0.52631578947368418</v>
      </c>
      <c r="H248" s="1424" t="s">
        <v>2030</v>
      </c>
      <c r="I248" s="1445">
        <v>12</v>
      </c>
      <c r="J248" s="1442">
        <v>44198</v>
      </c>
      <c r="K248" s="1444">
        <v>44561</v>
      </c>
      <c r="L248" s="1431">
        <f>1*8.33333333333333</f>
        <v>8.3333333333333304</v>
      </c>
      <c r="M248" s="1431">
        <f t="shared" ref="M248:W248" si="39">1*8.33333333333333</f>
        <v>8.3333333333333304</v>
      </c>
      <c r="N248" s="1431">
        <f t="shared" si="39"/>
        <v>8.3333333333333304</v>
      </c>
      <c r="O248" s="1431">
        <f t="shared" si="39"/>
        <v>8.3333333333333304</v>
      </c>
      <c r="P248" s="1431">
        <f t="shared" si="39"/>
        <v>8.3333333333333304</v>
      </c>
      <c r="Q248" s="1431">
        <f t="shared" si="39"/>
        <v>8.3333333333333304</v>
      </c>
      <c r="R248" s="1431">
        <f t="shared" si="39"/>
        <v>8.3333333333333304</v>
      </c>
      <c r="S248" s="1431">
        <f t="shared" si="39"/>
        <v>8.3333333333333304</v>
      </c>
      <c r="T248" s="1431">
        <f t="shared" si="39"/>
        <v>8.3333333333333304</v>
      </c>
      <c r="U248" s="1431">
        <f t="shared" si="39"/>
        <v>8.3333333333333304</v>
      </c>
      <c r="V248" s="1431">
        <f t="shared" si="39"/>
        <v>8.3333333333333304</v>
      </c>
      <c r="W248" s="1446">
        <f t="shared" si="39"/>
        <v>8.3333333333333304</v>
      </c>
      <c r="X248" s="1447">
        <f t="shared" si="38"/>
        <v>99.999999999999957</v>
      </c>
      <c r="Y248" s="663"/>
      <c r="Z248" s="20"/>
      <c r="AA248" s="20"/>
      <c r="AB248" s="20"/>
      <c r="AC248" s="20"/>
      <c r="AD248" s="20"/>
      <c r="AE248" s="20"/>
      <c r="AF248" s="20"/>
      <c r="AG248" s="20"/>
      <c r="AH248" s="20"/>
      <c r="AI248" s="20"/>
      <c r="AJ248" s="33"/>
      <c r="AK248" s="34"/>
    </row>
    <row r="249" spans="1:37" s="35" customFormat="1" ht="57.75" customHeight="1" thickBot="1" x14ac:dyDescent="0.25">
      <c r="A249" s="1253" t="s">
        <v>2074</v>
      </c>
      <c r="B249" s="1427" t="s">
        <v>2046</v>
      </c>
      <c r="C249" s="1427" t="s">
        <v>2047</v>
      </c>
      <c r="D249" s="1426" t="s">
        <v>2065</v>
      </c>
      <c r="E249" s="1428"/>
      <c r="F249" s="1429"/>
      <c r="G249" s="1127">
        <v>0.52631578947368418</v>
      </c>
      <c r="H249" s="1424" t="s">
        <v>2031</v>
      </c>
      <c r="I249" s="1445">
        <v>90</v>
      </c>
      <c r="J249" s="1442">
        <v>44228</v>
      </c>
      <c r="K249" s="1443">
        <v>44561</v>
      </c>
      <c r="L249" s="1430"/>
      <c r="M249" s="1437">
        <f>1*100/I249</f>
        <v>1.1111111111111112</v>
      </c>
      <c r="N249" s="1437">
        <f>8*100/I249</f>
        <v>8.8888888888888893</v>
      </c>
      <c r="O249" s="1437">
        <f>8*100/I249</f>
        <v>8.8888888888888893</v>
      </c>
      <c r="P249" s="1437">
        <f>10*100/I249</f>
        <v>11.111111111111111</v>
      </c>
      <c r="Q249" s="1437">
        <f>8*100/I249</f>
        <v>8.8888888888888893</v>
      </c>
      <c r="R249" s="1437">
        <f>9*100/I249</f>
        <v>10</v>
      </c>
      <c r="S249" s="1437">
        <f>9*100/I249</f>
        <v>10</v>
      </c>
      <c r="T249" s="1437">
        <f>9*100/I249</f>
        <v>10</v>
      </c>
      <c r="U249" s="1437">
        <f>10*100/I249</f>
        <v>11.111111111111111</v>
      </c>
      <c r="V249" s="1437">
        <f>9*100/I249</f>
        <v>10</v>
      </c>
      <c r="W249" s="1432">
        <f>9*100/I249</f>
        <v>10</v>
      </c>
      <c r="X249" s="1425">
        <f t="shared" si="38"/>
        <v>100</v>
      </c>
      <c r="Y249" s="663"/>
      <c r="Z249" s="20"/>
      <c r="AA249" s="20"/>
      <c r="AB249" s="20"/>
      <c r="AC249" s="20"/>
      <c r="AD249" s="20"/>
      <c r="AE249" s="20"/>
      <c r="AF249" s="20"/>
      <c r="AG249" s="20"/>
      <c r="AH249" s="20"/>
      <c r="AI249" s="20"/>
      <c r="AJ249" s="33"/>
      <c r="AK249" s="34"/>
    </row>
    <row r="250" spans="1:37" s="35" customFormat="1" ht="57.75" customHeight="1" thickBot="1" x14ac:dyDescent="0.25">
      <c r="A250" s="1253" t="s">
        <v>2075</v>
      </c>
      <c r="B250" s="1427" t="s">
        <v>2048</v>
      </c>
      <c r="C250" s="1427" t="s">
        <v>2049</v>
      </c>
      <c r="D250" s="1426" t="s">
        <v>2065</v>
      </c>
      <c r="E250" s="1428"/>
      <c r="F250" s="1429"/>
      <c r="G250" s="1127">
        <v>0.52631578947368418</v>
      </c>
      <c r="H250" s="1424" t="s">
        <v>2032</v>
      </c>
      <c r="I250" s="1445">
        <v>12</v>
      </c>
      <c r="J250" s="1442">
        <v>44228</v>
      </c>
      <c r="K250" s="1443">
        <v>44561</v>
      </c>
      <c r="L250" s="1430"/>
      <c r="M250" s="1440">
        <f>1*100/I250</f>
        <v>8.3333333333333339</v>
      </c>
      <c r="N250" s="1440">
        <f>1*100/I250</f>
        <v>8.3333333333333339</v>
      </c>
      <c r="O250" s="1440">
        <f>1*100/I250</f>
        <v>8.3333333333333339</v>
      </c>
      <c r="P250" s="1440">
        <f>1*100/I250</f>
        <v>8.3333333333333339</v>
      </c>
      <c r="Q250" s="1440">
        <f>1*100/I250</f>
        <v>8.3333333333333339</v>
      </c>
      <c r="R250" s="1440">
        <f>1*100/I250</f>
        <v>8.3333333333333339</v>
      </c>
      <c r="S250" s="1440">
        <f>1*100/I250</f>
        <v>8.3333333333333339</v>
      </c>
      <c r="T250" s="1440">
        <f>1*100/I250</f>
        <v>8.3333333333333339</v>
      </c>
      <c r="U250" s="1440">
        <f>1*100/I250</f>
        <v>8.3333333333333339</v>
      </c>
      <c r="V250" s="1440">
        <f>1*100/I250</f>
        <v>8.3333333333333339</v>
      </c>
      <c r="W250" s="1441">
        <f>2*100/I250</f>
        <v>16.666666666666668</v>
      </c>
      <c r="X250" s="1425">
        <f t="shared" si="38"/>
        <v>100</v>
      </c>
      <c r="Y250" s="663"/>
      <c r="Z250" s="20"/>
      <c r="AA250" s="20"/>
      <c r="AB250" s="20"/>
      <c r="AC250" s="20"/>
      <c r="AD250" s="20"/>
      <c r="AE250" s="20"/>
      <c r="AF250" s="20"/>
      <c r="AG250" s="20"/>
      <c r="AH250" s="20"/>
      <c r="AI250" s="20"/>
      <c r="AJ250" s="33"/>
      <c r="AK250" s="34"/>
    </row>
    <row r="251" spans="1:37" s="35" customFormat="1" ht="57.75" customHeight="1" thickBot="1" x14ac:dyDescent="0.25">
      <c r="A251" s="1253" t="s">
        <v>2076</v>
      </c>
      <c r="B251" s="1427" t="s">
        <v>2050</v>
      </c>
      <c r="C251" s="1427" t="s">
        <v>2051</v>
      </c>
      <c r="D251" s="1426" t="s">
        <v>2064</v>
      </c>
      <c r="E251" s="1428"/>
      <c r="F251" s="1433"/>
      <c r="G251" s="1127">
        <v>0.52631578947368418</v>
      </c>
      <c r="H251" s="1424" t="s">
        <v>2033</v>
      </c>
      <c r="I251" s="1445">
        <v>1</v>
      </c>
      <c r="J251" s="1442">
        <v>44228</v>
      </c>
      <c r="K251" s="1443">
        <v>44255</v>
      </c>
      <c r="L251" s="1434"/>
      <c r="M251" s="1431">
        <f>1*100/I251</f>
        <v>100</v>
      </c>
      <c r="N251" s="1431"/>
      <c r="O251" s="1431"/>
      <c r="P251" s="1431"/>
      <c r="Q251" s="1431"/>
      <c r="R251" s="1431"/>
      <c r="S251" s="1431"/>
      <c r="T251" s="1431"/>
      <c r="U251" s="1431"/>
      <c r="V251" s="1431"/>
      <c r="W251" s="1438"/>
      <c r="X251" s="1425">
        <f t="shared" si="38"/>
        <v>100</v>
      </c>
      <c r="Y251" s="663"/>
      <c r="Z251" s="20"/>
      <c r="AA251" s="20"/>
      <c r="AB251" s="20"/>
      <c r="AC251" s="20"/>
      <c r="AD251" s="20"/>
      <c r="AE251" s="20"/>
      <c r="AF251" s="20"/>
      <c r="AG251" s="20"/>
      <c r="AH251" s="20"/>
      <c r="AI251" s="20"/>
      <c r="AJ251" s="33"/>
      <c r="AK251" s="34"/>
    </row>
    <row r="252" spans="1:37" s="35" customFormat="1" ht="57.75" customHeight="1" thickBot="1" x14ac:dyDescent="0.25">
      <c r="A252" s="1253" t="s">
        <v>2077</v>
      </c>
      <c r="B252" s="1427" t="s">
        <v>2052</v>
      </c>
      <c r="C252" s="1427" t="s">
        <v>2053</v>
      </c>
      <c r="D252" s="1426" t="s">
        <v>2064</v>
      </c>
      <c r="E252" s="1428"/>
      <c r="F252" s="1433"/>
      <c r="G252" s="1127">
        <v>0.52631578947368418</v>
      </c>
      <c r="H252" s="1424" t="s">
        <v>2033</v>
      </c>
      <c r="I252" s="1445">
        <v>1</v>
      </c>
      <c r="J252" s="1442">
        <v>44348</v>
      </c>
      <c r="K252" s="1443">
        <v>44377</v>
      </c>
      <c r="L252" s="1434"/>
      <c r="M252" s="1431"/>
      <c r="N252" s="1431"/>
      <c r="O252" s="1431"/>
      <c r="P252" s="1431"/>
      <c r="Q252" s="1431">
        <f>1*100/I252</f>
        <v>100</v>
      </c>
      <c r="R252" s="1431"/>
      <c r="S252" s="1431"/>
      <c r="T252" s="1431"/>
      <c r="U252" s="1431"/>
      <c r="V252" s="1431"/>
      <c r="W252" s="1432"/>
      <c r="X252" s="1425">
        <f t="shared" si="38"/>
        <v>100</v>
      </c>
      <c r="Y252" s="663"/>
      <c r="Z252" s="20"/>
      <c r="AA252" s="20"/>
      <c r="AB252" s="20"/>
      <c r="AC252" s="20"/>
      <c r="AD252" s="20"/>
      <c r="AE252" s="20"/>
      <c r="AF252" s="20"/>
      <c r="AG252" s="20"/>
      <c r="AH252" s="20"/>
      <c r="AI252" s="20"/>
      <c r="AJ252" s="33"/>
      <c r="AK252" s="34"/>
    </row>
    <row r="253" spans="1:37" s="35" customFormat="1" ht="57.75" customHeight="1" thickBot="1" x14ac:dyDescent="0.25">
      <c r="A253" s="1253" t="s">
        <v>2078</v>
      </c>
      <c r="B253" s="1427" t="s">
        <v>2054</v>
      </c>
      <c r="C253" s="1427" t="s">
        <v>2055</v>
      </c>
      <c r="D253" s="1426" t="s">
        <v>2064</v>
      </c>
      <c r="E253" s="1428"/>
      <c r="F253" s="1433"/>
      <c r="G253" s="1127">
        <v>0.52631578947368418</v>
      </c>
      <c r="H253" s="1424" t="s">
        <v>2033</v>
      </c>
      <c r="I253" s="1445">
        <v>1</v>
      </c>
      <c r="J253" s="1442">
        <v>44531</v>
      </c>
      <c r="K253" s="1443">
        <v>44560</v>
      </c>
      <c r="L253" s="1434"/>
      <c r="M253" s="1431"/>
      <c r="N253" s="1431"/>
      <c r="O253" s="1431"/>
      <c r="P253" s="1431"/>
      <c r="Q253" s="1431"/>
      <c r="R253" s="1431"/>
      <c r="S253" s="1431"/>
      <c r="T253" s="1431"/>
      <c r="U253" s="1431"/>
      <c r="V253" s="1435"/>
      <c r="W253" s="1432">
        <v>100</v>
      </c>
      <c r="X253" s="1425">
        <f t="shared" si="38"/>
        <v>100</v>
      </c>
      <c r="Y253" s="663"/>
      <c r="Z253" s="20"/>
      <c r="AA253" s="20"/>
      <c r="AB253" s="20"/>
      <c r="AC253" s="20"/>
      <c r="AD253" s="20"/>
      <c r="AE253" s="20"/>
      <c r="AF253" s="20"/>
      <c r="AG253" s="20"/>
      <c r="AH253" s="20"/>
      <c r="AI253" s="20"/>
      <c r="AJ253" s="33"/>
      <c r="AK253" s="34"/>
    </row>
    <row r="254" spans="1:37" s="35" customFormat="1" ht="57.75" customHeight="1" thickBot="1" x14ac:dyDescent="0.25">
      <c r="A254" s="1253" t="s">
        <v>2079</v>
      </c>
      <c r="B254" s="1427" t="s">
        <v>2056</v>
      </c>
      <c r="C254" s="1427" t="s">
        <v>2057</v>
      </c>
      <c r="D254" s="1426" t="s">
        <v>2066</v>
      </c>
      <c r="E254" s="1428"/>
      <c r="F254" s="1433"/>
      <c r="G254" s="1127">
        <v>0.52631578947368418</v>
      </c>
      <c r="H254" s="1424" t="s">
        <v>2034</v>
      </c>
      <c r="I254" s="1445">
        <v>13</v>
      </c>
      <c r="J254" s="1442">
        <v>44256</v>
      </c>
      <c r="K254" s="1443">
        <v>44530</v>
      </c>
      <c r="L254" s="1434"/>
      <c r="M254" s="1431"/>
      <c r="N254" s="1431">
        <f>3*100/I254</f>
        <v>23.076923076923077</v>
      </c>
      <c r="O254" s="1431">
        <v>0</v>
      </c>
      <c r="P254" s="1431">
        <v>0</v>
      </c>
      <c r="Q254" s="1431">
        <f>3*100/I254</f>
        <v>23.076923076923077</v>
      </c>
      <c r="R254" s="1431">
        <v>0</v>
      </c>
      <c r="S254" s="1431">
        <v>0</v>
      </c>
      <c r="T254" s="1431">
        <f>4*100/I254</f>
        <v>30.76923076923077</v>
      </c>
      <c r="U254" s="1431">
        <v>0</v>
      </c>
      <c r="V254" s="1439">
        <f>3*100/I254</f>
        <v>23.076923076923077</v>
      </c>
      <c r="W254" s="1432"/>
      <c r="X254" s="1425">
        <f t="shared" si="38"/>
        <v>100</v>
      </c>
      <c r="Y254" s="663"/>
      <c r="Z254" s="20"/>
      <c r="AA254" s="20"/>
      <c r="AB254" s="20"/>
      <c r="AC254" s="20"/>
      <c r="AD254" s="20"/>
      <c r="AE254" s="20"/>
      <c r="AF254" s="20"/>
      <c r="AG254" s="20"/>
      <c r="AH254" s="20"/>
      <c r="AI254" s="20"/>
      <c r="AJ254" s="33"/>
      <c r="AK254" s="34"/>
    </row>
    <row r="255" spans="1:37" s="35" customFormat="1" ht="57.75" customHeight="1" thickBot="1" x14ac:dyDescent="0.25">
      <c r="A255" s="1253" t="s">
        <v>2080</v>
      </c>
      <c r="B255" s="1427" t="s">
        <v>2058</v>
      </c>
      <c r="C255" s="1427" t="s">
        <v>2059</v>
      </c>
      <c r="D255" s="1426" t="s">
        <v>2064</v>
      </c>
      <c r="E255" s="1428"/>
      <c r="F255" s="1433"/>
      <c r="G255" s="1127">
        <v>0.52631578947368418</v>
      </c>
      <c r="H255" s="1424" t="s">
        <v>2035</v>
      </c>
      <c r="I255" s="1445">
        <v>1</v>
      </c>
      <c r="J255" s="1442">
        <v>44501</v>
      </c>
      <c r="K255" s="1443">
        <v>44530</v>
      </c>
      <c r="L255" s="1434"/>
      <c r="M255" s="1431"/>
      <c r="N255" s="1431"/>
      <c r="O255" s="1431"/>
      <c r="P255" s="1431"/>
      <c r="Q255" s="1431"/>
      <c r="R255" s="1431"/>
      <c r="S255" s="1431"/>
      <c r="T255" s="1431"/>
      <c r="U255" s="1431"/>
      <c r="V255" s="1431">
        <v>100</v>
      </c>
      <c r="W255" s="1432"/>
      <c r="X255" s="1425">
        <f t="shared" si="38"/>
        <v>100</v>
      </c>
      <c r="Y255" s="663"/>
      <c r="Z255" s="20"/>
      <c r="AA255" s="20"/>
      <c r="AB255" s="20"/>
      <c r="AC255" s="20"/>
      <c r="AD255" s="20"/>
      <c r="AE255" s="20"/>
      <c r="AF255" s="20"/>
      <c r="AG255" s="20"/>
      <c r="AH255" s="20"/>
      <c r="AI255" s="20"/>
      <c r="AJ255" s="33"/>
      <c r="AK255" s="34"/>
    </row>
    <row r="256" spans="1:37" s="35" customFormat="1" ht="73.5" customHeight="1" thickBot="1" x14ac:dyDescent="0.25">
      <c r="A256" s="1253" t="s">
        <v>2081</v>
      </c>
      <c r="B256" s="1427" t="s">
        <v>2060</v>
      </c>
      <c r="C256" s="1427" t="s">
        <v>2068</v>
      </c>
      <c r="D256" s="1426" t="s">
        <v>2067</v>
      </c>
      <c r="E256" s="1428"/>
      <c r="F256" s="1433"/>
      <c r="G256" s="1127">
        <v>0.52631578947368418</v>
      </c>
      <c r="H256" s="1424" t="s">
        <v>2036</v>
      </c>
      <c r="I256" s="1445">
        <v>11</v>
      </c>
      <c r="J256" s="1442">
        <v>44228</v>
      </c>
      <c r="K256" s="1443">
        <v>44560</v>
      </c>
      <c r="L256" s="1434"/>
      <c r="M256" s="1431">
        <f>1*9.09090909090909</f>
        <v>9.0909090909090899</v>
      </c>
      <c r="N256" s="1431">
        <f t="shared" ref="N256:W256" si="40">1*9.09090909090909</f>
        <v>9.0909090909090899</v>
      </c>
      <c r="O256" s="1431">
        <f t="shared" si="40"/>
        <v>9.0909090909090899</v>
      </c>
      <c r="P256" s="1431">
        <f t="shared" si="40"/>
        <v>9.0909090909090899</v>
      </c>
      <c r="Q256" s="1431">
        <f t="shared" si="40"/>
        <v>9.0909090909090899</v>
      </c>
      <c r="R256" s="1431">
        <f t="shared" si="40"/>
        <v>9.0909090909090899</v>
      </c>
      <c r="S256" s="1431">
        <f t="shared" si="40"/>
        <v>9.0909090909090899</v>
      </c>
      <c r="T256" s="1431">
        <f t="shared" si="40"/>
        <v>9.0909090909090899</v>
      </c>
      <c r="U256" s="1431">
        <f t="shared" si="40"/>
        <v>9.0909090909090899</v>
      </c>
      <c r="V256" s="1431">
        <f t="shared" si="40"/>
        <v>9.0909090909090899</v>
      </c>
      <c r="W256" s="1446">
        <f t="shared" si="40"/>
        <v>9.0909090909090899</v>
      </c>
      <c r="X256" s="1447">
        <f t="shared" si="38"/>
        <v>100.00000000000001</v>
      </c>
      <c r="Y256" s="663"/>
      <c r="Z256" s="20"/>
      <c r="AA256" s="20"/>
      <c r="AB256" s="20"/>
      <c r="AC256" s="20"/>
      <c r="AD256" s="20"/>
      <c r="AE256" s="20"/>
      <c r="AF256" s="20"/>
      <c r="AG256" s="20"/>
      <c r="AH256" s="20"/>
      <c r="AI256" s="20"/>
      <c r="AJ256" s="33"/>
      <c r="AK256" s="34"/>
    </row>
    <row r="257" spans="1:37" s="35" customFormat="1" ht="71.25" customHeight="1" thickBot="1" x14ac:dyDescent="0.25">
      <c r="A257" s="1253" t="s">
        <v>2082</v>
      </c>
      <c r="B257" s="1427" t="s">
        <v>2061</v>
      </c>
      <c r="C257" s="1427" t="s">
        <v>2062</v>
      </c>
      <c r="D257" s="1426" t="s">
        <v>2069</v>
      </c>
      <c r="E257" s="1428"/>
      <c r="F257" s="1433"/>
      <c r="G257" s="1127">
        <v>0.52631578947368418</v>
      </c>
      <c r="H257" s="1424" t="s">
        <v>2037</v>
      </c>
      <c r="I257" s="1445">
        <v>7</v>
      </c>
      <c r="J257" s="1442">
        <v>44287</v>
      </c>
      <c r="K257" s="1443">
        <v>44530</v>
      </c>
      <c r="L257" s="1434"/>
      <c r="M257" s="1431"/>
      <c r="N257" s="1431"/>
      <c r="O257" s="1431">
        <f>1*100/I257</f>
        <v>14.285714285714286</v>
      </c>
      <c r="P257" s="1431"/>
      <c r="Q257" s="1431">
        <f>1*100/I257</f>
        <v>14.285714285714286</v>
      </c>
      <c r="R257" s="1431"/>
      <c r="S257" s="1431">
        <f>2*100/I257</f>
        <v>28.571428571428573</v>
      </c>
      <c r="T257" s="1431"/>
      <c r="U257" s="1431">
        <f>2*100/I257</f>
        <v>28.571428571428573</v>
      </c>
      <c r="V257" s="1431">
        <f>1*100/I257</f>
        <v>14.285714285714286</v>
      </c>
      <c r="W257" s="1438"/>
      <c r="X257" s="1425">
        <f t="shared" si="38"/>
        <v>100.00000000000001</v>
      </c>
      <c r="Y257" s="663"/>
      <c r="Z257" s="20"/>
      <c r="AA257" s="20"/>
      <c r="AB257" s="20"/>
      <c r="AC257" s="20"/>
      <c r="AD257" s="20"/>
      <c r="AE257" s="20"/>
      <c r="AF257" s="20"/>
      <c r="AG257" s="20"/>
      <c r="AH257" s="20"/>
      <c r="AI257" s="20"/>
      <c r="AJ257" s="33"/>
      <c r="AK257" s="34"/>
    </row>
    <row r="258" spans="1:37" s="19" customFormat="1" ht="100.5" customHeight="1" thickBot="1" x14ac:dyDescent="0.25">
      <c r="A258" s="1255" t="str">
        <f>'FORM-2'!D13</f>
        <v>3.7.2.2</v>
      </c>
      <c r="B258" s="1135" t="str">
        <f>'FORM-2'!E13</f>
        <v>6.065 niñas y niños menores de cinco años beneficiados en atencion integral en centros infantiles de municipios e instituciones en convenio a traves del Programa de Desarrollo Integral de la Primera Infancia.</v>
      </c>
      <c r="C258" s="1154" t="str">
        <f>'FORM-2'!H13</f>
        <v xml:space="preserve">
6.065 Niñas y niños de centros infantiles de municipios e instituciones en convenio, beneficiados con atención integral.
</v>
      </c>
      <c r="D258" s="1132" t="s">
        <v>1193</v>
      </c>
      <c r="E258" s="1134"/>
      <c r="F258" s="945">
        <v>10</v>
      </c>
      <c r="G258" s="1158">
        <f>SUM(G259:G273)</f>
        <v>100.00000000000001</v>
      </c>
      <c r="H258" s="1155" t="s">
        <v>1250</v>
      </c>
      <c r="I258" s="1366">
        <v>6065</v>
      </c>
      <c r="J258" s="1018">
        <v>44200</v>
      </c>
      <c r="K258" s="1019">
        <v>44561</v>
      </c>
      <c r="L258" s="922">
        <f>(L259*$G$259+L260*$G$260+L261*$G$261+L262*$G$262+L263*$G$263+L264*$G$264+L265*$G$265+L266*$G$266+L267*$G$267+L268*$G$268+L269*$G$269+L270*$G$270+L271*$G$271+L272*$G$272+L273*$G$273)/$G$258</f>
        <v>7.450444444444444</v>
      </c>
      <c r="M258" s="922">
        <f t="shared" ref="M258:W258" si="41">(M259*$G$259+M260*$G$260+M261*$G$261+M262*$G$262+M263*$G$263+M264*$G$264+M265*$G$265+M266*$G$266+M267*$G$267+M268*$G$268+M269*$G$269+M270*$G$270+M271*$G$271+M272*$G$272+M273*$G$273)/$G$258</f>
        <v>2.9245228758169932</v>
      </c>
      <c r="N258" s="922">
        <f t="shared" si="41"/>
        <v>4.088000000000001</v>
      </c>
      <c r="O258" s="922">
        <f t="shared" si="41"/>
        <v>7.7344444444444438</v>
      </c>
      <c r="P258" s="922">
        <f t="shared" si="41"/>
        <v>22.403999999999996</v>
      </c>
      <c r="Q258" s="922">
        <f t="shared" si="41"/>
        <v>14.362222222222222</v>
      </c>
      <c r="R258" s="922">
        <f t="shared" si="41"/>
        <v>3.3992026143790852</v>
      </c>
      <c r="S258" s="922">
        <f t="shared" si="41"/>
        <v>14.806222222222221</v>
      </c>
      <c r="T258" s="922">
        <f t="shared" si="41"/>
        <v>2.5655555555555551</v>
      </c>
      <c r="U258" s="922">
        <f t="shared" si="41"/>
        <v>10.467163398692811</v>
      </c>
      <c r="V258" s="922">
        <f t="shared" si="41"/>
        <v>8.3468888888888895</v>
      </c>
      <c r="W258" s="922">
        <f t="shared" si="41"/>
        <v>1.4508235294117646</v>
      </c>
      <c r="X258" s="1175">
        <f t="shared" si="38"/>
        <v>99.999490196078426</v>
      </c>
      <c r="Y258" s="886" t="e">
        <f>(#REF!*#REF!+#REF!*#REF!+#REF!*#REF!+#REF!*#REF!+#REF!*#REF!)/$F258</f>
        <v>#REF!</v>
      </c>
      <c r="Z258" s="30" t="e">
        <f>(#REF!*#REF!+#REF!*#REF!+#REF!*#REF!+#REF!*#REF!+#REF!*#REF!)/$F258</f>
        <v>#REF!</v>
      </c>
      <c r="AA258" s="30" t="e">
        <f>(#REF!*#REF!+#REF!*#REF!+#REF!*#REF!+#REF!*#REF!+#REF!*#REF!)/$F258</f>
        <v>#REF!</v>
      </c>
      <c r="AB258" s="30" t="e">
        <f>(#REF!*#REF!+#REF!*#REF!+#REF!*#REF!+#REF!*#REF!+#REF!*#REF!)/$F258</f>
        <v>#REF!</v>
      </c>
      <c r="AC258" s="30" t="e">
        <f>(#REF!*#REF!+#REF!*#REF!+#REF!*#REF!+#REF!*#REF!+#REF!*#REF!)/$F258</f>
        <v>#REF!</v>
      </c>
      <c r="AD258" s="30" t="e">
        <f>(#REF!*#REF!+#REF!*#REF!+#REF!*#REF!+#REF!*#REF!+#REF!*#REF!)/$F258</f>
        <v>#REF!</v>
      </c>
      <c r="AE258" s="30" t="e">
        <f>(#REF!*#REF!+#REF!*#REF!+#REF!*#REF!+#REF!*#REF!+#REF!*#REF!)/$F258</f>
        <v>#REF!</v>
      </c>
      <c r="AF258" s="30" t="e">
        <f>(#REF!*#REF!+#REF!*#REF!+#REF!*#REF!+#REF!*#REF!+#REF!*#REF!)/$F258</f>
        <v>#REF!</v>
      </c>
      <c r="AG258" s="30" t="e">
        <f>(#REF!*#REF!+#REF!*#REF!+#REF!*#REF!+#REF!*#REF!+#REF!*#REF!)/$F258</f>
        <v>#REF!</v>
      </c>
      <c r="AH258" s="30" t="e">
        <f>(#REF!*#REF!+#REF!*#REF!+#REF!*#REF!+#REF!*#REF!+#REF!*#REF!)/$F258</f>
        <v>#REF!</v>
      </c>
      <c r="AI258" s="30" t="e">
        <f>(#REF!*#REF!+#REF!*#REF!+#REF!*#REF!+#REF!*#REF!+#REF!*#REF!)/$F258</f>
        <v>#REF!</v>
      </c>
      <c r="AJ258" s="31" t="e">
        <f>(#REF!*#REF!+#REF!*#REF!+#REF!*#REF!+#REF!*#REF!+#REF!*#REF!)/$F258</f>
        <v>#REF!</v>
      </c>
      <c r="AK258" s="32" t="e">
        <f t="shared" si="22"/>
        <v>#REF!</v>
      </c>
    </row>
    <row r="259" spans="1:37" s="35" customFormat="1" ht="124.5" customHeight="1" x14ac:dyDescent="0.2">
      <c r="A259" s="1256" t="s">
        <v>1787</v>
      </c>
      <c r="B259" s="667" t="s">
        <v>969</v>
      </c>
      <c r="C259" s="636" t="s">
        <v>970</v>
      </c>
      <c r="D259" s="704" t="s">
        <v>1855</v>
      </c>
      <c r="E259" s="703"/>
      <c r="F259" s="765"/>
      <c r="G259" s="1159">
        <v>6.666666666666667</v>
      </c>
      <c r="H259" s="1156" t="s">
        <v>971</v>
      </c>
      <c r="I259" s="1383">
        <v>6</v>
      </c>
      <c r="J259" s="1343">
        <v>44200</v>
      </c>
      <c r="K259" s="1344">
        <v>44377</v>
      </c>
      <c r="L259" s="840">
        <v>16.666666666666668</v>
      </c>
      <c r="M259" s="840">
        <v>16.666666666666668</v>
      </c>
      <c r="N259" s="840">
        <v>16.666666666666668</v>
      </c>
      <c r="O259" s="840">
        <v>16.666666666666668</v>
      </c>
      <c r="P259" s="840">
        <v>16.666666666666668</v>
      </c>
      <c r="Q259" s="840">
        <v>16.666666666666668</v>
      </c>
      <c r="R259" s="841"/>
      <c r="S259" s="841"/>
      <c r="T259" s="841"/>
      <c r="U259" s="841"/>
      <c r="V259" s="841"/>
      <c r="W259" s="842"/>
      <c r="X259" s="1174">
        <f t="shared" si="38"/>
        <v>100.00000000000001</v>
      </c>
      <c r="Y259" s="663"/>
      <c r="Z259" s="20"/>
      <c r="AA259" s="20"/>
      <c r="AB259" s="20"/>
      <c r="AC259" s="20"/>
      <c r="AD259" s="20"/>
      <c r="AE259" s="20"/>
      <c r="AF259" s="20"/>
      <c r="AG259" s="20"/>
      <c r="AH259" s="20"/>
      <c r="AI259" s="20"/>
      <c r="AJ259" s="33"/>
      <c r="AK259" s="34">
        <f t="shared" si="22"/>
        <v>0</v>
      </c>
    </row>
    <row r="260" spans="1:37" s="35" customFormat="1" ht="69" customHeight="1" x14ac:dyDescent="0.2">
      <c r="A260" s="1256" t="s">
        <v>1788</v>
      </c>
      <c r="B260" s="668" t="s">
        <v>972</v>
      </c>
      <c r="C260" s="635" t="s">
        <v>973</v>
      </c>
      <c r="D260" s="648" t="s">
        <v>974</v>
      </c>
      <c r="E260" s="610"/>
      <c r="F260" s="764"/>
      <c r="G260" s="1159">
        <v>6.666666666666667</v>
      </c>
      <c r="H260" s="1157" t="s">
        <v>575</v>
      </c>
      <c r="I260" s="1364">
        <v>3</v>
      </c>
      <c r="J260" s="935">
        <v>44287</v>
      </c>
      <c r="K260" s="936">
        <v>44377</v>
      </c>
      <c r="L260" s="843"/>
      <c r="M260" s="843"/>
      <c r="N260" s="843"/>
      <c r="O260" s="843">
        <v>33.33</v>
      </c>
      <c r="P260" s="843">
        <v>33.33</v>
      </c>
      <c r="Q260" s="843">
        <v>33.33</v>
      </c>
      <c r="R260" s="844"/>
      <c r="S260" s="844"/>
      <c r="T260" s="844"/>
      <c r="U260" s="844"/>
      <c r="V260" s="844"/>
      <c r="W260" s="845"/>
      <c r="X260" s="888">
        <f t="shared" si="38"/>
        <v>99.99</v>
      </c>
      <c r="Y260" s="663"/>
      <c r="Z260" s="20"/>
      <c r="AA260" s="20"/>
      <c r="AB260" s="20"/>
      <c r="AC260" s="20"/>
      <c r="AD260" s="20"/>
      <c r="AE260" s="20"/>
      <c r="AF260" s="20"/>
      <c r="AG260" s="20"/>
      <c r="AH260" s="20"/>
      <c r="AI260" s="20"/>
      <c r="AJ260" s="33"/>
      <c r="AK260" s="34"/>
    </row>
    <row r="261" spans="1:37" s="35" customFormat="1" ht="74.25" customHeight="1" x14ac:dyDescent="0.2">
      <c r="A261" s="1256" t="s">
        <v>1789</v>
      </c>
      <c r="B261" s="668" t="s">
        <v>1382</v>
      </c>
      <c r="C261" s="635" t="s">
        <v>1383</v>
      </c>
      <c r="D261" s="648" t="s">
        <v>975</v>
      </c>
      <c r="E261" s="610"/>
      <c r="F261" s="764"/>
      <c r="G261" s="1159">
        <v>6.666666666666667</v>
      </c>
      <c r="H261" s="611" t="s">
        <v>976</v>
      </c>
      <c r="I261" s="1360">
        <v>10</v>
      </c>
      <c r="J261" s="935">
        <v>44200</v>
      </c>
      <c r="K261" s="936">
        <v>44498</v>
      </c>
      <c r="L261" s="843">
        <v>50</v>
      </c>
      <c r="M261" s="843"/>
      <c r="N261" s="843"/>
      <c r="O261" s="843"/>
      <c r="P261" s="843"/>
      <c r="Q261" s="843"/>
      <c r="R261" s="844"/>
      <c r="S261" s="844">
        <v>30</v>
      </c>
      <c r="T261" s="844"/>
      <c r="U261" s="844">
        <v>20</v>
      </c>
      <c r="V261" s="844"/>
      <c r="W261" s="845"/>
      <c r="X261" s="888">
        <f t="shared" si="38"/>
        <v>100</v>
      </c>
      <c r="Y261" s="663"/>
      <c r="Z261" s="20"/>
      <c r="AA261" s="20"/>
      <c r="AB261" s="20"/>
      <c r="AC261" s="20"/>
      <c r="AD261" s="20"/>
      <c r="AE261" s="20"/>
      <c r="AF261" s="20"/>
      <c r="AG261" s="20"/>
      <c r="AH261" s="20"/>
      <c r="AI261" s="20"/>
      <c r="AJ261" s="33"/>
      <c r="AK261" s="34"/>
    </row>
    <row r="262" spans="1:37" s="35" customFormat="1" ht="105.75" customHeight="1" x14ac:dyDescent="0.2">
      <c r="A262" s="1256" t="s">
        <v>1790</v>
      </c>
      <c r="B262" s="668" t="s">
        <v>977</v>
      </c>
      <c r="C262" s="635" t="s">
        <v>978</v>
      </c>
      <c r="D262" s="648" t="s">
        <v>979</v>
      </c>
      <c r="E262" s="610"/>
      <c r="F262" s="764"/>
      <c r="G262" s="1159">
        <v>6.666666666666667</v>
      </c>
      <c r="H262" s="611" t="s">
        <v>980</v>
      </c>
      <c r="I262" s="1360">
        <v>68</v>
      </c>
      <c r="J262" s="1323">
        <v>44228</v>
      </c>
      <c r="K262" s="1324">
        <v>44561</v>
      </c>
      <c r="L262" s="843"/>
      <c r="M262" s="843">
        <f>2*(100/68)</f>
        <v>2.9411764705882355</v>
      </c>
      <c r="N262" s="843">
        <v>2.94</v>
      </c>
      <c r="O262" s="843">
        <v>11.76</v>
      </c>
      <c r="P262" s="843">
        <v>11.76</v>
      </c>
      <c r="Q262" s="843">
        <v>11.76</v>
      </c>
      <c r="R262" s="843">
        <f>8*(100/68)</f>
        <v>11.764705882352942</v>
      </c>
      <c r="S262" s="843">
        <v>11.76</v>
      </c>
      <c r="T262" s="843">
        <v>11.76</v>
      </c>
      <c r="U262" s="843">
        <f>7*(100/68)</f>
        <v>10.294117647058824</v>
      </c>
      <c r="V262" s="843">
        <v>7.38</v>
      </c>
      <c r="W262" s="846">
        <f>4*(100/68)</f>
        <v>5.882352941176471</v>
      </c>
      <c r="X262" s="888">
        <f t="shared" si="38"/>
        <v>100.00235294117647</v>
      </c>
      <c r="Y262" s="663"/>
      <c r="Z262" s="20"/>
      <c r="AA262" s="20"/>
      <c r="AB262" s="20"/>
      <c r="AC262" s="20"/>
      <c r="AD262" s="20"/>
      <c r="AE262" s="20"/>
      <c r="AF262" s="20"/>
      <c r="AG262" s="20"/>
      <c r="AH262" s="20"/>
      <c r="AI262" s="20"/>
      <c r="AJ262" s="33"/>
      <c r="AK262" s="34"/>
    </row>
    <row r="263" spans="1:37" s="35" customFormat="1" ht="136.5" customHeight="1" x14ac:dyDescent="0.2">
      <c r="A263" s="1256" t="s">
        <v>1791</v>
      </c>
      <c r="B263" s="668" t="s">
        <v>981</v>
      </c>
      <c r="C263" s="635" t="s">
        <v>982</v>
      </c>
      <c r="D263" s="648" t="s">
        <v>983</v>
      </c>
      <c r="E263" s="610"/>
      <c r="F263" s="764"/>
      <c r="G263" s="1159">
        <v>6.666666666666667</v>
      </c>
      <c r="H263" s="611" t="s">
        <v>984</v>
      </c>
      <c r="I263" s="1360">
        <v>17</v>
      </c>
      <c r="J263" s="1323">
        <v>44200</v>
      </c>
      <c r="K263" s="1324">
        <v>44561</v>
      </c>
      <c r="L263" s="843">
        <v>11.76</v>
      </c>
      <c r="M263" s="843">
        <v>11.76</v>
      </c>
      <c r="N263" s="843">
        <v>5.88</v>
      </c>
      <c r="O263" s="843">
        <v>11.76</v>
      </c>
      <c r="P263" s="843">
        <v>17.64</v>
      </c>
      <c r="Q263" s="843">
        <v>5.89</v>
      </c>
      <c r="R263" s="843">
        <v>5.89</v>
      </c>
      <c r="S263" s="843">
        <v>5.89</v>
      </c>
      <c r="T263" s="843">
        <v>5.89</v>
      </c>
      <c r="U263" s="843">
        <v>5.88</v>
      </c>
      <c r="V263" s="843">
        <v>5.88</v>
      </c>
      <c r="W263" s="846">
        <v>5.88</v>
      </c>
      <c r="X263" s="888">
        <f t="shared" si="38"/>
        <v>99.999999999999986</v>
      </c>
      <c r="Y263" s="663"/>
      <c r="Z263" s="20"/>
      <c r="AA263" s="20"/>
      <c r="AB263" s="20"/>
      <c r="AC263" s="20"/>
      <c r="AD263" s="20"/>
      <c r="AE263" s="20"/>
      <c r="AF263" s="20"/>
      <c r="AG263" s="20"/>
      <c r="AH263" s="20"/>
      <c r="AI263" s="20"/>
      <c r="AJ263" s="33"/>
      <c r="AK263" s="34"/>
    </row>
    <row r="264" spans="1:37" s="35" customFormat="1" ht="72.75" customHeight="1" x14ac:dyDescent="0.2">
      <c r="A264" s="1256" t="s">
        <v>1792</v>
      </c>
      <c r="B264" s="668" t="s">
        <v>985</v>
      </c>
      <c r="C264" s="635" t="s">
        <v>986</v>
      </c>
      <c r="D264" s="648" t="s">
        <v>987</v>
      </c>
      <c r="E264" s="610"/>
      <c r="F264" s="764"/>
      <c r="G264" s="1159">
        <v>6.666666666666667</v>
      </c>
      <c r="H264" s="611" t="s">
        <v>988</v>
      </c>
      <c r="I264" s="1360">
        <v>1</v>
      </c>
      <c r="J264" s="1323">
        <v>44348</v>
      </c>
      <c r="K264" s="1324">
        <v>44377</v>
      </c>
      <c r="L264" s="843"/>
      <c r="M264" s="843"/>
      <c r="N264" s="843"/>
      <c r="O264" s="843"/>
      <c r="P264" s="843"/>
      <c r="Q264" s="843">
        <v>100</v>
      </c>
      <c r="R264" s="844"/>
      <c r="S264" s="844"/>
      <c r="T264" s="844"/>
      <c r="U264" s="844"/>
      <c r="V264" s="844"/>
      <c r="W264" s="845"/>
      <c r="X264" s="888">
        <f t="shared" si="38"/>
        <v>100</v>
      </c>
      <c r="Y264" s="663"/>
      <c r="Z264" s="20"/>
      <c r="AA264" s="20"/>
      <c r="AB264" s="20"/>
      <c r="AC264" s="20"/>
      <c r="AD264" s="20"/>
      <c r="AE264" s="20"/>
      <c r="AF264" s="20"/>
      <c r="AG264" s="20"/>
      <c r="AH264" s="20"/>
      <c r="AI264" s="20"/>
      <c r="AJ264" s="33"/>
      <c r="AK264" s="34"/>
    </row>
    <row r="265" spans="1:37" s="35" customFormat="1" ht="83.25" customHeight="1" x14ac:dyDescent="0.2">
      <c r="A265" s="1256" t="s">
        <v>1793</v>
      </c>
      <c r="B265" s="1003" t="s">
        <v>989</v>
      </c>
      <c r="C265" s="635" t="s">
        <v>990</v>
      </c>
      <c r="D265" s="648" t="s">
        <v>991</v>
      </c>
      <c r="E265" s="610"/>
      <c r="F265" s="764"/>
      <c r="G265" s="1159">
        <v>6.666666666666667</v>
      </c>
      <c r="H265" s="611" t="s">
        <v>988</v>
      </c>
      <c r="I265" s="1360">
        <v>2</v>
      </c>
      <c r="J265" s="1323">
        <v>44319</v>
      </c>
      <c r="K265" s="1324">
        <v>44347</v>
      </c>
      <c r="L265" s="843"/>
      <c r="M265" s="843"/>
      <c r="N265" s="843"/>
      <c r="O265" s="843"/>
      <c r="P265" s="843">
        <v>100</v>
      </c>
      <c r="Q265" s="843"/>
      <c r="R265" s="844"/>
      <c r="S265" s="844"/>
      <c r="T265" s="844"/>
      <c r="U265" s="844"/>
      <c r="V265" s="844"/>
      <c r="W265" s="845"/>
      <c r="X265" s="888">
        <f t="shared" si="38"/>
        <v>100</v>
      </c>
      <c r="Y265" s="663"/>
      <c r="Z265" s="20"/>
      <c r="AA265" s="20"/>
      <c r="AB265" s="20"/>
      <c r="AC265" s="20"/>
      <c r="AD265" s="20"/>
      <c r="AE265" s="20"/>
      <c r="AF265" s="20"/>
      <c r="AG265" s="20"/>
      <c r="AH265" s="20"/>
      <c r="AI265" s="20"/>
      <c r="AJ265" s="33"/>
      <c r="AK265" s="34"/>
    </row>
    <row r="266" spans="1:37" s="35" customFormat="1" ht="75.75" customHeight="1" x14ac:dyDescent="0.2">
      <c r="A266" s="1256" t="s">
        <v>1794</v>
      </c>
      <c r="B266" s="668" t="s">
        <v>992</v>
      </c>
      <c r="C266" s="635" t="s">
        <v>993</v>
      </c>
      <c r="D266" s="648" t="s">
        <v>994</v>
      </c>
      <c r="E266" s="610"/>
      <c r="F266" s="764"/>
      <c r="G266" s="1159">
        <v>6.666666666666667</v>
      </c>
      <c r="H266" s="611" t="s">
        <v>995</v>
      </c>
      <c r="I266" s="1360">
        <v>2</v>
      </c>
      <c r="J266" s="1323">
        <v>44319</v>
      </c>
      <c r="K266" s="1324">
        <v>44439</v>
      </c>
      <c r="L266" s="843"/>
      <c r="M266" s="843"/>
      <c r="N266" s="843"/>
      <c r="O266" s="843"/>
      <c r="P266" s="843">
        <v>50</v>
      </c>
      <c r="Q266" s="843"/>
      <c r="R266" s="843"/>
      <c r="S266" s="843">
        <v>50</v>
      </c>
      <c r="T266" s="843"/>
      <c r="U266" s="843"/>
      <c r="V266" s="843"/>
      <c r="W266" s="846"/>
      <c r="X266" s="888">
        <f t="shared" si="38"/>
        <v>100</v>
      </c>
      <c r="Y266" s="663"/>
      <c r="Z266" s="20"/>
      <c r="AA266" s="20"/>
      <c r="AB266" s="20"/>
      <c r="AC266" s="20"/>
      <c r="AD266" s="20"/>
      <c r="AE266" s="20"/>
      <c r="AF266" s="20"/>
      <c r="AG266" s="20"/>
      <c r="AH266" s="20"/>
      <c r="AI266" s="20"/>
      <c r="AJ266" s="33"/>
      <c r="AK266" s="34"/>
    </row>
    <row r="267" spans="1:37" s="35" customFormat="1" ht="212.25" customHeight="1" x14ac:dyDescent="0.2">
      <c r="A267" s="1256" t="s">
        <v>1795</v>
      </c>
      <c r="B267" s="668" t="s">
        <v>996</v>
      </c>
      <c r="C267" s="635" t="s">
        <v>1243</v>
      </c>
      <c r="D267" s="648" t="s">
        <v>997</v>
      </c>
      <c r="E267" s="610"/>
      <c r="F267" s="764"/>
      <c r="G267" s="1159">
        <v>6.666666666666667</v>
      </c>
      <c r="H267" s="611" t="s">
        <v>998</v>
      </c>
      <c r="I267" s="1360">
        <v>9</v>
      </c>
      <c r="J267" s="935">
        <v>44200</v>
      </c>
      <c r="K267" s="936">
        <v>44530</v>
      </c>
      <c r="L267" s="843">
        <v>33.33</v>
      </c>
      <c r="M267" s="843"/>
      <c r="N267" s="843"/>
      <c r="O267" s="843"/>
      <c r="P267" s="843">
        <v>33.33</v>
      </c>
      <c r="Q267" s="843">
        <v>11.12</v>
      </c>
      <c r="R267" s="843"/>
      <c r="S267" s="843">
        <v>11.11</v>
      </c>
      <c r="T267" s="843"/>
      <c r="U267" s="843"/>
      <c r="V267" s="843">
        <v>11.11</v>
      </c>
      <c r="W267" s="846"/>
      <c r="X267" s="888">
        <f t="shared" si="38"/>
        <v>100</v>
      </c>
      <c r="Y267" s="663"/>
      <c r="Z267" s="20"/>
      <c r="AA267" s="20"/>
      <c r="AB267" s="20"/>
      <c r="AC267" s="20"/>
      <c r="AD267" s="20"/>
      <c r="AE267" s="20"/>
      <c r="AF267" s="20"/>
      <c r="AG267" s="20"/>
      <c r="AH267" s="20"/>
      <c r="AI267" s="20"/>
      <c r="AJ267" s="33"/>
      <c r="AK267" s="34"/>
    </row>
    <row r="268" spans="1:37" s="35" customFormat="1" ht="171" customHeight="1" x14ac:dyDescent="0.2">
      <c r="A268" s="1256" t="s">
        <v>1796</v>
      </c>
      <c r="B268" s="668" t="s">
        <v>1018</v>
      </c>
      <c r="C268" s="635" t="s">
        <v>999</v>
      </c>
      <c r="D268" s="648" t="s">
        <v>1000</v>
      </c>
      <c r="E268" s="610"/>
      <c r="F268" s="764"/>
      <c r="G268" s="1159">
        <v>6.666666666666667</v>
      </c>
      <c r="H268" s="611" t="s">
        <v>1001</v>
      </c>
      <c r="I268" s="1360">
        <v>30</v>
      </c>
      <c r="J268" s="1323">
        <v>44256</v>
      </c>
      <c r="K268" s="1324">
        <v>44498</v>
      </c>
      <c r="L268" s="843"/>
      <c r="M268" s="843"/>
      <c r="N268" s="843">
        <f>4*(100/30)</f>
        <v>13.333333333333334</v>
      </c>
      <c r="O268" s="843">
        <f>6*(100/30)</f>
        <v>20</v>
      </c>
      <c r="P268" s="843">
        <f>6*(100/30)</f>
        <v>20</v>
      </c>
      <c r="Q268" s="843">
        <f>5*(100/30)</f>
        <v>16.666666666666668</v>
      </c>
      <c r="R268" s="843">
        <f>4*(100/30)</f>
        <v>13.333333333333334</v>
      </c>
      <c r="S268" s="843">
        <f>3*(100/30)</f>
        <v>10</v>
      </c>
      <c r="T268" s="843">
        <f>1*(100/30)</f>
        <v>3.3333333333333335</v>
      </c>
      <c r="U268" s="843">
        <f>1*(100/30)</f>
        <v>3.3333333333333335</v>
      </c>
      <c r="V268" s="843"/>
      <c r="W268" s="846"/>
      <c r="X268" s="888">
        <f t="shared" si="38"/>
        <v>99.999999999999986</v>
      </c>
      <c r="Y268" s="663"/>
      <c r="Z268" s="20"/>
      <c r="AA268" s="20"/>
      <c r="AB268" s="20"/>
      <c r="AC268" s="20"/>
      <c r="AD268" s="20"/>
      <c r="AE268" s="20"/>
      <c r="AF268" s="20"/>
      <c r="AG268" s="20"/>
      <c r="AH268" s="20"/>
      <c r="AI268" s="20"/>
      <c r="AJ268" s="33"/>
      <c r="AK268" s="34"/>
    </row>
    <row r="269" spans="1:37" s="35" customFormat="1" ht="168" customHeight="1" x14ac:dyDescent="0.2">
      <c r="A269" s="1256" t="s">
        <v>1797</v>
      </c>
      <c r="B269" s="668" t="s">
        <v>1002</v>
      </c>
      <c r="C269" s="635" t="s">
        <v>1003</v>
      </c>
      <c r="D269" s="648" t="s">
        <v>1000</v>
      </c>
      <c r="E269" s="610"/>
      <c r="F269" s="764"/>
      <c r="G269" s="1159">
        <v>6.666666666666667</v>
      </c>
      <c r="H269" s="611" t="s">
        <v>1004</v>
      </c>
      <c r="I269" s="1360">
        <v>200</v>
      </c>
      <c r="J269" s="1323">
        <v>44228</v>
      </c>
      <c r="K269" s="936">
        <v>44530</v>
      </c>
      <c r="L269" s="843"/>
      <c r="M269" s="843">
        <v>12.5</v>
      </c>
      <c r="N269" s="843">
        <v>12.5</v>
      </c>
      <c r="O269" s="843">
        <v>12.5</v>
      </c>
      <c r="P269" s="843">
        <v>10</v>
      </c>
      <c r="Q269" s="843">
        <v>10</v>
      </c>
      <c r="R269" s="844">
        <v>10</v>
      </c>
      <c r="S269" s="844">
        <v>10</v>
      </c>
      <c r="T269" s="844">
        <v>7.5</v>
      </c>
      <c r="U269" s="844">
        <v>7.5</v>
      </c>
      <c r="V269" s="844">
        <v>7.5</v>
      </c>
      <c r="W269" s="845"/>
      <c r="X269" s="888">
        <f t="shared" si="38"/>
        <v>100</v>
      </c>
      <c r="Y269" s="663"/>
      <c r="Z269" s="20"/>
      <c r="AA269" s="20"/>
      <c r="AB269" s="20"/>
      <c r="AC269" s="20"/>
      <c r="AD269" s="20"/>
      <c r="AE269" s="20"/>
      <c r="AF269" s="20"/>
      <c r="AG269" s="20"/>
      <c r="AH269" s="20"/>
      <c r="AI269" s="20"/>
      <c r="AJ269" s="33"/>
      <c r="AK269" s="34"/>
    </row>
    <row r="270" spans="1:37" s="35" customFormat="1" ht="134.25" customHeight="1" x14ac:dyDescent="0.2">
      <c r="A270" s="1256" t="s">
        <v>1798</v>
      </c>
      <c r="B270" s="668" t="s">
        <v>1552</v>
      </c>
      <c r="C270" s="635" t="s">
        <v>1005</v>
      </c>
      <c r="D270" s="648" t="s">
        <v>1006</v>
      </c>
      <c r="E270" s="610"/>
      <c r="F270" s="764"/>
      <c r="G270" s="1159">
        <v>6.666666666666667</v>
      </c>
      <c r="H270" s="1157" t="s">
        <v>1007</v>
      </c>
      <c r="I270" s="1364">
        <v>6</v>
      </c>
      <c r="J270" s="935">
        <v>44319</v>
      </c>
      <c r="K270" s="936">
        <v>44530</v>
      </c>
      <c r="L270" s="843"/>
      <c r="M270" s="843"/>
      <c r="N270" s="843"/>
      <c r="O270" s="843"/>
      <c r="P270" s="843">
        <f>2*(100/6)</f>
        <v>33.333333333333336</v>
      </c>
      <c r="Q270" s="843"/>
      <c r="R270" s="844"/>
      <c r="S270" s="844">
        <v>33.333333333333336</v>
      </c>
      <c r="T270" s="844"/>
      <c r="U270" s="844"/>
      <c r="V270" s="844">
        <v>33.333333333333336</v>
      </c>
      <c r="W270" s="845"/>
      <c r="X270" s="888">
        <f t="shared" si="38"/>
        <v>100</v>
      </c>
      <c r="Y270" s="663"/>
      <c r="Z270" s="20"/>
      <c r="AA270" s="20"/>
      <c r="AB270" s="20"/>
      <c r="AC270" s="20"/>
      <c r="AD270" s="20"/>
      <c r="AE270" s="20"/>
      <c r="AF270" s="20"/>
      <c r="AG270" s="20"/>
      <c r="AH270" s="20"/>
      <c r="AI270" s="20"/>
      <c r="AJ270" s="33"/>
      <c r="AK270" s="34"/>
    </row>
    <row r="271" spans="1:37" s="35" customFormat="1" ht="85.5" customHeight="1" x14ac:dyDescent="0.2">
      <c r="A271" s="1256" t="s">
        <v>1799</v>
      </c>
      <c r="B271" s="668" t="s">
        <v>1008</v>
      </c>
      <c r="C271" s="635" t="s">
        <v>1985</v>
      </c>
      <c r="D271" s="648" t="s">
        <v>1860</v>
      </c>
      <c r="E271" s="610"/>
      <c r="F271" s="764"/>
      <c r="G271" s="1159">
        <v>6.666666666666667</v>
      </c>
      <c r="H271" s="611" t="s">
        <v>1009</v>
      </c>
      <c r="I271" s="1360">
        <v>10</v>
      </c>
      <c r="J271" s="935">
        <v>44256</v>
      </c>
      <c r="K271" s="936">
        <v>44561</v>
      </c>
      <c r="L271" s="843"/>
      <c r="M271" s="843"/>
      <c r="N271" s="843">
        <v>10</v>
      </c>
      <c r="O271" s="843">
        <v>10</v>
      </c>
      <c r="P271" s="843">
        <v>10</v>
      </c>
      <c r="Q271" s="843">
        <v>10</v>
      </c>
      <c r="R271" s="844">
        <v>10</v>
      </c>
      <c r="S271" s="844">
        <v>10</v>
      </c>
      <c r="T271" s="844">
        <v>10</v>
      </c>
      <c r="U271" s="844">
        <v>10</v>
      </c>
      <c r="V271" s="844">
        <v>10</v>
      </c>
      <c r="W271" s="845">
        <v>10</v>
      </c>
      <c r="X271" s="888">
        <f t="shared" si="38"/>
        <v>100</v>
      </c>
      <c r="Y271" s="663"/>
      <c r="Z271" s="20"/>
      <c r="AA271" s="20"/>
      <c r="AB271" s="20"/>
      <c r="AC271" s="20"/>
      <c r="AD271" s="20"/>
      <c r="AE271" s="20"/>
      <c r="AF271" s="20"/>
      <c r="AG271" s="20"/>
      <c r="AH271" s="20"/>
      <c r="AI271" s="20"/>
      <c r="AJ271" s="33"/>
      <c r="AK271" s="34"/>
    </row>
    <row r="272" spans="1:37" s="35" customFormat="1" ht="67.5" customHeight="1" x14ac:dyDescent="0.2">
      <c r="A272" s="1256" t="s">
        <v>1800</v>
      </c>
      <c r="B272" s="668" t="s">
        <v>1010</v>
      </c>
      <c r="C272" s="635" t="s">
        <v>1011</v>
      </c>
      <c r="D272" s="648" t="s">
        <v>1012</v>
      </c>
      <c r="E272" s="610"/>
      <c r="F272" s="764"/>
      <c r="G272" s="1159">
        <v>6.666666666666667</v>
      </c>
      <c r="H272" s="611" t="s">
        <v>1013</v>
      </c>
      <c r="I272" s="1360">
        <v>1</v>
      </c>
      <c r="J272" s="935">
        <v>44470</v>
      </c>
      <c r="K272" s="936">
        <v>44498</v>
      </c>
      <c r="L272" s="843"/>
      <c r="M272" s="843"/>
      <c r="N272" s="843"/>
      <c r="O272" s="843"/>
      <c r="P272" s="843"/>
      <c r="Q272" s="843"/>
      <c r="R272" s="844"/>
      <c r="S272" s="844"/>
      <c r="T272" s="844"/>
      <c r="U272" s="844">
        <v>100</v>
      </c>
      <c r="V272" s="844"/>
      <c r="W272" s="845"/>
      <c r="X272" s="888">
        <f t="shared" si="38"/>
        <v>100</v>
      </c>
      <c r="Y272" s="663"/>
      <c r="Z272" s="20"/>
      <c r="AA272" s="20"/>
      <c r="AB272" s="20"/>
      <c r="AC272" s="20"/>
      <c r="AD272" s="20"/>
      <c r="AE272" s="20"/>
      <c r="AF272" s="20"/>
      <c r="AG272" s="20"/>
      <c r="AH272" s="20"/>
      <c r="AI272" s="20"/>
      <c r="AJ272" s="33"/>
      <c r="AK272" s="34"/>
    </row>
    <row r="273" spans="1:38" s="35" customFormat="1" ht="159" customHeight="1" thickBot="1" x14ac:dyDescent="0.25">
      <c r="A273" s="1256" t="s">
        <v>1801</v>
      </c>
      <c r="B273" s="739" t="s">
        <v>1014</v>
      </c>
      <c r="C273" s="740" t="s">
        <v>1015</v>
      </c>
      <c r="D273" s="742" t="s">
        <v>1016</v>
      </c>
      <c r="E273" s="751"/>
      <c r="F273" s="1160"/>
      <c r="G273" s="1161">
        <v>6.666666666666667</v>
      </c>
      <c r="H273" s="1162" t="s">
        <v>1017</v>
      </c>
      <c r="I273" s="1384">
        <v>2</v>
      </c>
      <c r="J273" s="1116">
        <v>44410</v>
      </c>
      <c r="K273" s="1117">
        <v>44530</v>
      </c>
      <c r="L273" s="847"/>
      <c r="M273" s="847"/>
      <c r="N273" s="847"/>
      <c r="O273" s="847"/>
      <c r="P273" s="847"/>
      <c r="Q273" s="847"/>
      <c r="R273" s="848"/>
      <c r="S273" s="848">
        <v>50</v>
      </c>
      <c r="T273" s="848"/>
      <c r="U273" s="848"/>
      <c r="V273" s="848">
        <v>50</v>
      </c>
      <c r="W273" s="849"/>
      <c r="X273" s="1214">
        <f t="shared" si="38"/>
        <v>100</v>
      </c>
      <c r="Y273" s="663"/>
      <c r="Z273" s="20"/>
      <c r="AA273" s="20"/>
      <c r="AB273" s="20"/>
      <c r="AC273" s="20"/>
      <c r="AD273" s="20"/>
      <c r="AE273" s="20"/>
      <c r="AF273" s="20"/>
      <c r="AG273" s="20"/>
      <c r="AH273" s="20"/>
      <c r="AI273" s="20"/>
      <c r="AJ273" s="33"/>
      <c r="AK273" s="34">
        <f t="shared" si="22"/>
        <v>0</v>
      </c>
    </row>
    <row r="274" spans="1:38" s="503" customFormat="1" ht="132.75" customHeight="1" thickBot="1" x14ac:dyDescent="0.25">
      <c r="A274" s="1270" t="str">
        <f>'FORM-2'!D14</f>
        <v>3.7.2.3</v>
      </c>
      <c r="B274" s="1114" t="str">
        <f>'FORM-2'!E14</f>
        <v>74  Niños y Adolescentes beneficiados de los diferentes Municipios rurales, periurbanos y urbanos del Departamento de La Paz, son beneficiados a través de la intervención técnica interdisciplinaria del Programa Centro de Orientacion para Adolescentes con Responsabilidad Penal.</v>
      </c>
      <c r="C274" s="1171" t="str">
        <f>'FORM-2'!H14</f>
        <v>80 Adolescentes con responsabilidad penal beneficiados con intervención técnica.</v>
      </c>
      <c r="D274" s="1113" t="s">
        <v>1039</v>
      </c>
      <c r="E274" s="1112"/>
      <c r="F274" s="769">
        <v>10</v>
      </c>
      <c r="G274" s="826">
        <f>SUM(G275:G286)</f>
        <v>99.999999999999986</v>
      </c>
      <c r="H274" s="1165" t="s">
        <v>1246</v>
      </c>
      <c r="I274" s="1385">
        <v>74</v>
      </c>
      <c r="J274" s="1018">
        <v>44200</v>
      </c>
      <c r="K274" s="1019">
        <v>44561</v>
      </c>
      <c r="L274" s="830">
        <f>+(L275*$G$275+L276*$G$276+L277*$G$277+L278*$G$278+L279*$G$279+L280*$G$280+L281*$G$281+L282*$G$282+L283*$G$283+L284*$G$284+L285*$G$285+L286*$G$286)/$G$274</f>
        <v>11.110833333333334</v>
      </c>
      <c r="M274" s="830">
        <f t="shared" ref="M274:W274" si="42">+(M275*$G$275+M276*$G$276+M277*$G$277+M278*$G$278+M279*$G$279+M280*$G$280+M281*$G$281+M282*$G$282+M283*$G$283+M284*$G$284+M285*$G$285+M286*$G$286)/$G$274</f>
        <v>6.2048148148148172</v>
      </c>
      <c r="N274" s="830">
        <f t="shared" si="42"/>
        <v>7.315648148148151</v>
      </c>
      <c r="O274" s="830">
        <f t="shared" si="42"/>
        <v>16.621481481481489</v>
      </c>
      <c r="P274" s="830">
        <f t="shared" si="42"/>
        <v>12.871481481481485</v>
      </c>
      <c r="Q274" s="830">
        <f t="shared" si="42"/>
        <v>4.5381481481481494</v>
      </c>
      <c r="R274" s="830">
        <f t="shared" si="42"/>
        <v>8.9823148148148171</v>
      </c>
      <c r="S274" s="830">
        <f t="shared" si="42"/>
        <v>6.4548148148148172</v>
      </c>
      <c r="T274" s="830">
        <f t="shared" si="42"/>
        <v>4.399259259259261</v>
      </c>
      <c r="U274" s="830">
        <f t="shared" si="42"/>
        <v>8.8530709876543234</v>
      </c>
      <c r="V274" s="830">
        <f t="shared" si="42"/>
        <v>6.5339043209876557</v>
      </c>
      <c r="W274" s="830">
        <f t="shared" si="42"/>
        <v>6.1172376543209896</v>
      </c>
      <c r="X274" s="1175">
        <f t="shared" si="38"/>
        <v>100.0030092592593</v>
      </c>
      <c r="Y274" s="744"/>
      <c r="Z274" s="500"/>
      <c r="AA274" s="500"/>
      <c r="AB274" s="500"/>
      <c r="AC274" s="500"/>
      <c r="AD274" s="500"/>
      <c r="AE274" s="500"/>
      <c r="AF274" s="500"/>
      <c r="AG274" s="500"/>
      <c r="AH274" s="500"/>
      <c r="AI274" s="500"/>
      <c r="AJ274" s="501"/>
      <c r="AK274" s="502"/>
    </row>
    <row r="275" spans="1:38" s="504" customFormat="1" ht="92.25" customHeight="1" x14ac:dyDescent="0.2">
      <c r="A275" s="1257" t="s">
        <v>1802</v>
      </c>
      <c r="B275" s="1163" t="s">
        <v>1019</v>
      </c>
      <c r="C275" s="1163" t="s">
        <v>1986</v>
      </c>
      <c r="D275" s="1005" t="s">
        <v>1040</v>
      </c>
      <c r="E275" s="703"/>
      <c r="F275" s="1164"/>
      <c r="G275" s="1169">
        <v>8.3333333333333339</v>
      </c>
      <c r="H275" s="1166" t="s">
        <v>1020</v>
      </c>
      <c r="I275" s="1352">
        <v>3</v>
      </c>
      <c r="J275" s="1345">
        <v>44200</v>
      </c>
      <c r="K275" s="1346">
        <v>44225</v>
      </c>
      <c r="L275" s="851">
        <v>100</v>
      </c>
      <c r="M275" s="850"/>
      <c r="N275" s="850"/>
      <c r="O275" s="850"/>
      <c r="P275" s="850"/>
      <c r="Q275" s="850"/>
      <c r="R275" s="850"/>
      <c r="S275" s="850"/>
      <c r="T275" s="850"/>
      <c r="U275" s="850"/>
      <c r="V275" s="850"/>
      <c r="W275" s="851"/>
      <c r="X275" s="1174">
        <f t="shared" si="38"/>
        <v>100</v>
      </c>
      <c r="Y275" s="663"/>
      <c r="Z275" s="20"/>
      <c r="AA275" s="20"/>
      <c r="AB275" s="20"/>
      <c r="AC275" s="20"/>
      <c r="AD275" s="20"/>
      <c r="AE275" s="20"/>
      <c r="AF275" s="20"/>
      <c r="AG275" s="20"/>
      <c r="AH275" s="20"/>
      <c r="AI275" s="20"/>
      <c r="AJ275" s="33"/>
      <c r="AK275" s="34"/>
    </row>
    <row r="276" spans="1:38" s="504" customFormat="1" ht="80.25" customHeight="1" x14ac:dyDescent="0.2">
      <c r="A276" s="1257" t="s">
        <v>1803</v>
      </c>
      <c r="B276" s="643" t="s">
        <v>1021</v>
      </c>
      <c r="C276" s="643" t="s">
        <v>1244</v>
      </c>
      <c r="D276" s="735" t="s">
        <v>1040</v>
      </c>
      <c r="E276" s="610"/>
      <c r="F276" s="505"/>
      <c r="G276" s="1170">
        <v>8.3333333333333339</v>
      </c>
      <c r="H276" s="1167" t="s">
        <v>1022</v>
      </c>
      <c r="I276" s="1353">
        <v>22</v>
      </c>
      <c r="J276" s="1340">
        <v>44228</v>
      </c>
      <c r="K276" s="1338">
        <v>44561</v>
      </c>
      <c r="L276" s="853"/>
      <c r="M276" s="852">
        <v>9.1</v>
      </c>
      <c r="N276" s="852">
        <v>9.1</v>
      </c>
      <c r="O276" s="852">
        <v>9.1</v>
      </c>
      <c r="P276" s="852">
        <v>9.1</v>
      </c>
      <c r="Q276" s="852">
        <v>9.1</v>
      </c>
      <c r="R276" s="852">
        <v>9.1</v>
      </c>
      <c r="S276" s="852">
        <v>9.1</v>
      </c>
      <c r="T276" s="852">
        <v>9.1</v>
      </c>
      <c r="U276" s="852">
        <v>9.1</v>
      </c>
      <c r="V276" s="852">
        <v>9.1</v>
      </c>
      <c r="W276" s="879">
        <v>9.1</v>
      </c>
      <c r="X276" s="888">
        <f t="shared" si="38"/>
        <v>100.09999999999998</v>
      </c>
      <c r="Y276" s="663"/>
      <c r="Z276" s="20"/>
      <c r="AA276" s="20"/>
      <c r="AB276" s="20"/>
      <c r="AC276" s="20"/>
      <c r="AD276" s="20"/>
      <c r="AE276" s="20"/>
      <c r="AF276" s="20"/>
      <c r="AG276" s="20"/>
      <c r="AH276" s="20"/>
      <c r="AI276" s="20"/>
      <c r="AJ276" s="33"/>
      <c r="AK276" s="34"/>
    </row>
    <row r="277" spans="1:38" s="504" customFormat="1" ht="90" customHeight="1" x14ac:dyDescent="0.2">
      <c r="A277" s="1257" t="s">
        <v>1804</v>
      </c>
      <c r="B277" s="643" t="s">
        <v>1042</v>
      </c>
      <c r="C277" s="741" t="s">
        <v>1554</v>
      </c>
      <c r="D277" s="735" t="s">
        <v>1040</v>
      </c>
      <c r="E277" s="610"/>
      <c r="F277" s="505"/>
      <c r="G277" s="1170">
        <v>8.3333333333333339</v>
      </c>
      <c r="H277" s="1167" t="s">
        <v>1023</v>
      </c>
      <c r="I277" s="1353">
        <v>6</v>
      </c>
      <c r="J277" s="1340">
        <v>44256</v>
      </c>
      <c r="K277" s="1338">
        <v>44498</v>
      </c>
      <c r="L277" s="853"/>
      <c r="M277" s="852"/>
      <c r="N277" s="852">
        <v>33.33</v>
      </c>
      <c r="O277" s="852"/>
      <c r="P277" s="852"/>
      <c r="Q277" s="852"/>
      <c r="R277" s="852">
        <v>33.33</v>
      </c>
      <c r="S277" s="852"/>
      <c r="T277" s="852"/>
      <c r="U277" s="852">
        <v>33.33</v>
      </c>
      <c r="V277" s="852"/>
      <c r="W277" s="853"/>
      <c r="X277" s="888">
        <f t="shared" si="38"/>
        <v>99.99</v>
      </c>
      <c r="Y277" s="663"/>
      <c r="Z277" s="20"/>
      <c r="AA277" s="20"/>
      <c r="AB277" s="20"/>
      <c r="AC277" s="20"/>
      <c r="AD277" s="20"/>
      <c r="AE277" s="20"/>
      <c r="AF277" s="20"/>
      <c r="AG277" s="20"/>
      <c r="AH277" s="20"/>
      <c r="AI277" s="20"/>
      <c r="AJ277" s="33"/>
      <c r="AK277" s="34"/>
    </row>
    <row r="278" spans="1:38" s="504" customFormat="1" ht="87.75" customHeight="1" x14ac:dyDescent="0.2">
      <c r="A278" s="1257" t="s">
        <v>1805</v>
      </c>
      <c r="B278" s="643" t="s">
        <v>1553</v>
      </c>
      <c r="C278" s="643" t="s">
        <v>1987</v>
      </c>
      <c r="D278" s="735" t="s">
        <v>1040</v>
      </c>
      <c r="E278" s="610"/>
      <c r="F278" s="505"/>
      <c r="G278" s="1170">
        <v>8.3333333333333339</v>
      </c>
      <c r="H278" s="1167" t="s">
        <v>1024</v>
      </c>
      <c r="I278" s="1353">
        <v>3</v>
      </c>
      <c r="J278" s="1340">
        <v>44287</v>
      </c>
      <c r="K278" s="1338">
        <v>44316</v>
      </c>
      <c r="L278" s="853"/>
      <c r="M278" s="852"/>
      <c r="N278" s="854"/>
      <c r="O278" s="854">
        <v>100</v>
      </c>
      <c r="P278" s="852"/>
      <c r="Q278" s="852"/>
      <c r="R278" s="852"/>
      <c r="S278" s="852"/>
      <c r="T278" s="852"/>
      <c r="U278" s="852"/>
      <c r="V278" s="852"/>
      <c r="W278" s="853"/>
      <c r="X278" s="888">
        <f t="shared" si="38"/>
        <v>100</v>
      </c>
      <c r="Y278" s="663"/>
      <c r="Z278" s="20"/>
      <c r="AA278" s="20"/>
      <c r="AB278" s="20"/>
      <c r="AC278" s="20"/>
      <c r="AD278" s="20"/>
      <c r="AE278" s="20"/>
      <c r="AF278" s="20"/>
      <c r="AG278" s="20"/>
      <c r="AH278" s="20"/>
      <c r="AI278" s="20"/>
      <c r="AJ278" s="33"/>
      <c r="AK278" s="34"/>
    </row>
    <row r="279" spans="1:38" s="504" customFormat="1" ht="81" customHeight="1" x14ac:dyDescent="0.2">
      <c r="A279" s="1257" t="s">
        <v>1806</v>
      </c>
      <c r="B279" s="643" t="s">
        <v>1025</v>
      </c>
      <c r="C279" s="643" t="s">
        <v>1988</v>
      </c>
      <c r="D279" s="735" t="s">
        <v>1040</v>
      </c>
      <c r="E279" s="610"/>
      <c r="F279" s="505"/>
      <c r="G279" s="1170">
        <v>8.3333333333333339</v>
      </c>
      <c r="H279" s="1167" t="s">
        <v>1024</v>
      </c>
      <c r="I279" s="1353">
        <v>1</v>
      </c>
      <c r="J279" s="1340">
        <v>44319</v>
      </c>
      <c r="K279" s="1338">
        <v>44347</v>
      </c>
      <c r="L279" s="853"/>
      <c r="M279" s="852"/>
      <c r="N279" s="854"/>
      <c r="O279" s="854"/>
      <c r="P279" s="852">
        <v>100</v>
      </c>
      <c r="Q279" s="852"/>
      <c r="R279" s="852"/>
      <c r="S279" s="852"/>
      <c r="T279" s="852"/>
      <c r="U279" s="852"/>
      <c r="V279" s="852"/>
      <c r="W279" s="853"/>
      <c r="X279" s="888">
        <f t="shared" si="38"/>
        <v>100</v>
      </c>
      <c r="Y279" s="663"/>
      <c r="Z279" s="20"/>
      <c r="AA279" s="20"/>
      <c r="AB279" s="20"/>
      <c r="AC279" s="20"/>
      <c r="AD279" s="20"/>
      <c r="AE279" s="20"/>
      <c r="AF279" s="20"/>
      <c r="AG279" s="20"/>
      <c r="AH279" s="20"/>
      <c r="AI279" s="20"/>
      <c r="AJ279" s="33"/>
      <c r="AK279" s="34"/>
    </row>
    <row r="280" spans="1:38" s="504" customFormat="1" ht="81.75" customHeight="1" x14ac:dyDescent="0.2">
      <c r="A280" s="1257" t="s">
        <v>1807</v>
      </c>
      <c r="B280" s="643" t="s">
        <v>1043</v>
      </c>
      <c r="C280" s="643" t="s">
        <v>1989</v>
      </c>
      <c r="D280" s="735" t="s">
        <v>1040</v>
      </c>
      <c r="E280" s="610"/>
      <c r="F280" s="505"/>
      <c r="G280" s="1170">
        <v>8.3333333333333339</v>
      </c>
      <c r="H280" s="1167" t="s">
        <v>1027</v>
      </c>
      <c r="I280" s="1353">
        <v>50</v>
      </c>
      <c r="J280" s="1340">
        <v>44200</v>
      </c>
      <c r="K280" s="1338">
        <v>44561</v>
      </c>
      <c r="L280" s="853">
        <v>8.33</v>
      </c>
      <c r="M280" s="852">
        <v>8.33</v>
      </c>
      <c r="N280" s="852">
        <v>8.33</v>
      </c>
      <c r="O280" s="852">
        <v>8.33</v>
      </c>
      <c r="P280" s="852">
        <v>8.33</v>
      </c>
      <c r="Q280" s="852">
        <v>8.33</v>
      </c>
      <c r="R280" s="852">
        <v>8.33</v>
      </c>
      <c r="S280" s="852">
        <v>8.33</v>
      </c>
      <c r="T280" s="852">
        <v>8.33</v>
      </c>
      <c r="U280" s="852">
        <v>8.33</v>
      </c>
      <c r="V280" s="852">
        <v>8.33</v>
      </c>
      <c r="W280" s="879">
        <v>8.33</v>
      </c>
      <c r="X280" s="888">
        <f t="shared" si="38"/>
        <v>99.96</v>
      </c>
      <c r="Y280" s="663"/>
      <c r="Z280" s="20"/>
      <c r="AA280" s="20"/>
      <c r="AB280" s="20"/>
      <c r="AC280" s="20"/>
      <c r="AD280" s="20"/>
      <c r="AE280" s="20"/>
      <c r="AF280" s="20"/>
      <c r="AG280" s="20"/>
      <c r="AH280" s="20"/>
      <c r="AI280" s="20"/>
      <c r="AJ280" s="33"/>
      <c r="AK280" s="34"/>
    </row>
    <row r="281" spans="1:38" s="504" customFormat="1" ht="87" customHeight="1" x14ac:dyDescent="0.2">
      <c r="A281" s="1257" t="s">
        <v>1808</v>
      </c>
      <c r="B281" s="643" t="s">
        <v>1028</v>
      </c>
      <c r="C281" s="643" t="s">
        <v>1044</v>
      </c>
      <c r="D281" s="735" t="s">
        <v>1861</v>
      </c>
      <c r="E281" s="610"/>
      <c r="F281" s="505"/>
      <c r="G281" s="1170">
        <v>8.3333333333333339</v>
      </c>
      <c r="H281" s="1167" t="s">
        <v>1027</v>
      </c>
      <c r="I281" s="1353">
        <v>4</v>
      </c>
      <c r="J281" s="1340">
        <v>44200</v>
      </c>
      <c r="K281" s="1338">
        <v>44530</v>
      </c>
      <c r="L281" s="853">
        <v>25</v>
      </c>
      <c r="M281" s="852"/>
      <c r="N281" s="852"/>
      <c r="O281" s="852">
        <v>25</v>
      </c>
      <c r="P281" s="852"/>
      <c r="Q281" s="852"/>
      <c r="R281" s="852"/>
      <c r="S281" s="852">
        <v>25</v>
      </c>
      <c r="T281" s="852"/>
      <c r="U281" s="852"/>
      <c r="V281" s="852">
        <v>25</v>
      </c>
      <c r="W281" s="879"/>
      <c r="X281" s="888">
        <f t="shared" si="38"/>
        <v>100</v>
      </c>
      <c r="Y281" s="663"/>
      <c r="Z281" s="20"/>
      <c r="AA281" s="20"/>
      <c r="AB281" s="20"/>
      <c r="AC281" s="20"/>
      <c r="AD281" s="20"/>
      <c r="AE281" s="20"/>
      <c r="AF281" s="20"/>
      <c r="AG281" s="20"/>
      <c r="AH281" s="20"/>
      <c r="AI281" s="20"/>
      <c r="AJ281" s="33"/>
      <c r="AK281" s="34"/>
    </row>
    <row r="282" spans="1:38" s="504" customFormat="1" ht="97.5" customHeight="1" x14ac:dyDescent="0.2">
      <c r="A282" s="1257" t="s">
        <v>1809</v>
      </c>
      <c r="B282" s="643" t="s">
        <v>1029</v>
      </c>
      <c r="C282" s="643" t="s">
        <v>1990</v>
      </c>
      <c r="D282" s="735" t="s">
        <v>1245</v>
      </c>
      <c r="E282" s="610"/>
      <c r="F282" s="505"/>
      <c r="G282" s="1170">
        <v>8.3333333333333339</v>
      </c>
      <c r="H282" s="1167" t="s">
        <v>1030</v>
      </c>
      <c r="I282" s="1353">
        <v>300</v>
      </c>
      <c r="J282" s="1340">
        <v>44228</v>
      </c>
      <c r="K282" s="1338">
        <v>44561</v>
      </c>
      <c r="L282" s="853"/>
      <c r="M282" s="852">
        <v>20</v>
      </c>
      <c r="N282" s="852"/>
      <c r="O282" s="852">
        <v>20</v>
      </c>
      <c r="P282" s="852"/>
      <c r="Q282" s="852"/>
      <c r="R282" s="852">
        <v>20</v>
      </c>
      <c r="S282" s="852"/>
      <c r="T282" s="852"/>
      <c r="U282" s="852">
        <v>20</v>
      </c>
      <c r="V282" s="852"/>
      <c r="W282" s="879">
        <v>20</v>
      </c>
      <c r="X282" s="888">
        <f t="shared" si="38"/>
        <v>100</v>
      </c>
      <c r="Y282" s="663"/>
      <c r="Z282" s="20"/>
      <c r="AA282" s="20"/>
      <c r="AB282" s="20"/>
      <c r="AC282" s="20"/>
      <c r="AD282" s="20"/>
      <c r="AE282" s="20"/>
      <c r="AF282" s="20"/>
      <c r="AG282" s="20"/>
      <c r="AH282" s="20"/>
      <c r="AI282" s="20"/>
      <c r="AJ282" s="33"/>
      <c r="AK282" s="34"/>
    </row>
    <row r="283" spans="1:38" s="504" customFormat="1" ht="81" customHeight="1" x14ac:dyDescent="0.2">
      <c r="A283" s="1257" t="s">
        <v>1810</v>
      </c>
      <c r="B283" s="643" t="s">
        <v>1031</v>
      </c>
      <c r="C283" s="643" t="s">
        <v>1991</v>
      </c>
      <c r="D283" s="735" t="s">
        <v>1046</v>
      </c>
      <c r="E283" s="610"/>
      <c r="F283" s="505"/>
      <c r="G283" s="1170">
        <v>8.3333333333333339</v>
      </c>
      <c r="H283" s="1167" t="s">
        <v>1032</v>
      </c>
      <c r="I283" s="1353">
        <v>864</v>
      </c>
      <c r="J283" s="1340">
        <v>44228</v>
      </c>
      <c r="K283" s="1338">
        <v>44561</v>
      </c>
      <c r="L283" s="853"/>
      <c r="M283" s="852">
        <f>78*0.115740740740741</f>
        <v>9.0277777777777981</v>
      </c>
      <c r="N283" s="852">
        <f t="shared" ref="N283:T283" si="43">78*0.115740740740741</f>
        <v>9.0277777777777981</v>
      </c>
      <c r="O283" s="852">
        <f t="shared" si="43"/>
        <v>9.0277777777777981</v>
      </c>
      <c r="P283" s="852">
        <f t="shared" si="43"/>
        <v>9.0277777777777981</v>
      </c>
      <c r="Q283" s="852">
        <f t="shared" si="43"/>
        <v>9.0277777777777981</v>
      </c>
      <c r="R283" s="852">
        <f t="shared" si="43"/>
        <v>9.0277777777777981</v>
      </c>
      <c r="S283" s="852">
        <f t="shared" si="43"/>
        <v>9.0277777777777981</v>
      </c>
      <c r="T283" s="852">
        <f t="shared" si="43"/>
        <v>9.0277777777777981</v>
      </c>
      <c r="U283" s="852">
        <f>79*0.115740740740741</f>
        <v>9.1435185185185386</v>
      </c>
      <c r="V283" s="852">
        <f t="shared" ref="V283:W283" si="44">79*0.115740740740741</f>
        <v>9.1435185185185386</v>
      </c>
      <c r="W283" s="852">
        <f t="shared" si="44"/>
        <v>9.1435185185185386</v>
      </c>
      <c r="X283" s="888">
        <f t="shared" si="38"/>
        <v>99.652777777777985</v>
      </c>
      <c r="Y283" s="663"/>
      <c r="Z283" s="20"/>
      <c r="AA283" s="20"/>
      <c r="AB283" s="20"/>
      <c r="AC283" s="20"/>
      <c r="AD283" s="20"/>
      <c r="AE283" s="20"/>
      <c r="AF283" s="20"/>
      <c r="AG283" s="20"/>
      <c r="AH283" s="20"/>
      <c r="AI283" s="20"/>
      <c r="AJ283" s="33"/>
      <c r="AK283" s="34"/>
    </row>
    <row r="284" spans="1:38" s="504" customFormat="1" ht="90.75" customHeight="1" x14ac:dyDescent="0.2">
      <c r="A284" s="1257" t="s">
        <v>1811</v>
      </c>
      <c r="B284" s="643" t="s">
        <v>1045</v>
      </c>
      <c r="C284" s="643" t="s">
        <v>1992</v>
      </c>
      <c r="D284" s="735" t="s">
        <v>1047</v>
      </c>
      <c r="E284" s="610"/>
      <c r="F284" s="505"/>
      <c r="G284" s="1170">
        <v>8.3333333333333339</v>
      </c>
      <c r="H284" s="1167" t="s">
        <v>1033</v>
      </c>
      <c r="I284" s="1353">
        <v>300</v>
      </c>
      <c r="J284" s="1340">
        <v>44228</v>
      </c>
      <c r="K284" s="1338">
        <v>44561</v>
      </c>
      <c r="L284" s="853"/>
      <c r="M284" s="852">
        <f>27*0.333333333333333</f>
        <v>8.9999999999999911</v>
      </c>
      <c r="N284" s="852">
        <f t="shared" ref="N284:S284" si="45">27*0.333333333333333</f>
        <v>8.9999999999999911</v>
      </c>
      <c r="O284" s="852">
        <f t="shared" si="45"/>
        <v>8.9999999999999911</v>
      </c>
      <c r="P284" s="852">
        <f t="shared" si="45"/>
        <v>8.9999999999999911</v>
      </c>
      <c r="Q284" s="852">
        <f t="shared" si="45"/>
        <v>8.9999999999999911</v>
      </c>
      <c r="R284" s="852">
        <f t="shared" si="45"/>
        <v>8.9999999999999911</v>
      </c>
      <c r="S284" s="852">
        <f t="shared" si="45"/>
        <v>8.9999999999999911</v>
      </c>
      <c r="T284" s="852">
        <f>28*0.333333333333333</f>
        <v>9.3333333333333233</v>
      </c>
      <c r="U284" s="852">
        <f t="shared" ref="U284:W284" si="46">28*0.333333333333333</f>
        <v>9.3333333333333233</v>
      </c>
      <c r="V284" s="852">
        <f t="shared" si="46"/>
        <v>9.3333333333333233</v>
      </c>
      <c r="W284" s="852">
        <f t="shared" si="46"/>
        <v>9.3333333333333233</v>
      </c>
      <c r="X284" s="888">
        <f t="shared" si="38"/>
        <v>100.33333333333326</v>
      </c>
      <c r="Y284" s="663"/>
      <c r="Z284" s="20"/>
      <c r="AA284" s="20"/>
      <c r="AB284" s="20"/>
      <c r="AC284" s="20"/>
      <c r="AD284" s="20"/>
      <c r="AE284" s="20"/>
      <c r="AF284" s="20"/>
      <c r="AG284" s="20"/>
      <c r="AH284" s="20"/>
      <c r="AI284" s="20"/>
      <c r="AJ284" s="33"/>
      <c r="AK284" s="34"/>
      <c r="AL284" s="1321"/>
    </row>
    <row r="285" spans="1:38" s="504" customFormat="1" ht="92.25" customHeight="1" x14ac:dyDescent="0.2">
      <c r="A285" s="1257" t="s">
        <v>1812</v>
      </c>
      <c r="B285" s="643" t="s">
        <v>1035</v>
      </c>
      <c r="C285" s="643" t="s">
        <v>1993</v>
      </c>
      <c r="D285" s="735" t="s">
        <v>1048</v>
      </c>
      <c r="E285" s="610"/>
      <c r="F285" s="505"/>
      <c r="G285" s="1170">
        <v>8.3333333333333339</v>
      </c>
      <c r="H285" s="1167" t="s">
        <v>1036</v>
      </c>
      <c r="I285" s="1353">
        <v>200</v>
      </c>
      <c r="J285" s="1340">
        <v>44228</v>
      </c>
      <c r="K285" s="1338">
        <v>44561</v>
      </c>
      <c r="L285" s="853"/>
      <c r="M285" s="852">
        <f>18*0.5</f>
        <v>9</v>
      </c>
      <c r="N285" s="852">
        <f t="shared" ref="N285:U285" si="47">18*0.5</f>
        <v>9</v>
      </c>
      <c r="O285" s="852">
        <f t="shared" si="47"/>
        <v>9</v>
      </c>
      <c r="P285" s="852">
        <f t="shared" si="47"/>
        <v>9</v>
      </c>
      <c r="Q285" s="852">
        <f t="shared" si="47"/>
        <v>9</v>
      </c>
      <c r="R285" s="852">
        <f t="shared" si="47"/>
        <v>9</v>
      </c>
      <c r="S285" s="852">
        <f t="shared" si="47"/>
        <v>9</v>
      </c>
      <c r="T285" s="852">
        <f t="shared" si="47"/>
        <v>9</v>
      </c>
      <c r="U285" s="852">
        <f t="shared" si="47"/>
        <v>9</v>
      </c>
      <c r="V285" s="852">
        <f t="shared" ref="V285:W285" si="48">19*0.5</f>
        <v>9.5</v>
      </c>
      <c r="W285" s="852">
        <f t="shared" si="48"/>
        <v>9.5</v>
      </c>
      <c r="X285" s="888">
        <f t="shared" si="38"/>
        <v>100</v>
      </c>
      <c r="Y285" s="663"/>
      <c r="Z285" s="20"/>
      <c r="AA285" s="20"/>
      <c r="AB285" s="20"/>
      <c r="AC285" s="20"/>
      <c r="AD285" s="20"/>
      <c r="AE285" s="20"/>
      <c r="AF285" s="20"/>
      <c r="AG285" s="20"/>
      <c r="AH285" s="20"/>
      <c r="AI285" s="20"/>
      <c r="AJ285" s="33"/>
      <c r="AK285" s="34"/>
    </row>
    <row r="286" spans="1:38" s="504" customFormat="1" ht="91.5" customHeight="1" thickBot="1" x14ac:dyDescent="0.25">
      <c r="A286" s="1257" t="s">
        <v>1813</v>
      </c>
      <c r="B286" s="1136" t="s">
        <v>1037</v>
      </c>
      <c r="C286" s="1136" t="s">
        <v>1994</v>
      </c>
      <c r="D286" s="1137" t="s">
        <v>1041</v>
      </c>
      <c r="E286" s="751"/>
      <c r="F286" s="766"/>
      <c r="G286" s="1172">
        <v>8.3333333333333339</v>
      </c>
      <c r="H286" s="1168" t="s">
        <v>1038</v>
      </c>
      <c r="I286" s="1382">
        <v>50</v>
      </c>
      <c r="J286" s="1341">
        <v>44228</v>
      </c>
      <c r="K286" s="1342">
        <v>44561</v>
      </c>
      <c r="L286" s="923"/>
      <c r="M286" s="855">
        <f>5*2</f>
        <v>10</v>
      </c>
      <c r="N286" s="855">
        <f t="shared" ref="N286:R286" si="49">5*2</f>
        <v>10</v>
      </c>
      <c r="O286" s="855">
        <f t="shared" si="49"/>
        <v>10</v>
      </c>
      <c r="P286" s="855">
        <f>5*2</f>
        <v>10</v>
      </c>
      <c r="Q286" s="855">
        <f t="shared" si="49"/>
        <v>10</v>
      </c>
      <c r="R286" s="855">
        <f t="shared" si="49"/>
        <v>10</v>
      </c>
      <c r="S286" s="855">
        <f t="shared" ref="S286:W286" si="50">4*2</f>
        <v>8</v>
      </c>
      <c r="T286" s="855">
        <f t="shared" si="50"/>
        <v>8</v>
      </c>
      <c r="U286" s="855">
        <f t="shared" si="50"/>
        <v>8</v>
      </c>
      <c r="V286" s="855">
        <f t="shared" si="50"/>
        <v>8</v>
      </c>
      <c r="W286" s="855">
        <f t="shared" si="50"/>
        <v>8</v>
      </c>
      <c r="X286" s="1214">
        <f t="shared" si="38"/>
        <v>100</v>
      </c>
      <c r="Y286" s="663"/>
      <c r="Z286" s="20"/>
      <c r="AA286" s="20"/>
      <c r="AB286" s="20"/>
      <c r="AC286" s="20"/>
      <c r="AD286" s="20"/>
      <c r="AE286" s="20"/>
      <c r="AF286" s="20"/>
      <c r="AG286" s="20"/>
      <c r="AH286" s="20"/>
      <c r="AI286" s="20"/>
      <c r="AJ286" s="33"/>
      <c r="AK286" s="34"/>
    </row>
    <row r="287" spans="1:38" s="504" customFormat="1" ht="120" customHeight="1" thickBot="1" x14ac:dyDescent="0.25">
      <c r="A287" s="1270" t="str">
        <f>'FORM-2'!D15</f>
        <v>3.7.2.4</v>
      </c>
      <c r="B287" s="1114" t="str">
        <f>'FORM-2'!E15</f>
        <v>20 Niños y Adolescentes Exentos de Responsabilidad Penal beneficiados de los diferentes Municipios rurales, periurbanos y urbanos del Departamento de La Paz, a través del Programa  de Proteccion para Adolescentes Exentos de Responsabilidad Penal.</v>
      </c>
      <c r="C287" s="1114" t="str">
        <f>'FORM-2'!H15</f>
        <v xml:space="preserve">20 Adolescentes exentos de responsabilidad penal beneficiados con atención  técnica. </v>
      </c>
      <c r="D287" s="1113" t="s">
        <v>1065</v>
      </c>
      <c r="E287" s="1112"/>
      <c r="F287" s="769">
        <v>10</v>
      </c>
      <c r="G287" s="826">
        <f>SUM(G288:G298)</f>
        <v>100.00000000000001</v>
      </c>
      <c r="H287" s="1165" t="s">
        <v>1246</v>
      </c>
      <c r="I287" s="1351">
        <v>20</v>
      </c>
      <c r="J287" s="1123">
        <v>44200</v>
      </c>
      <c r="K287" s="1347">
        <v>44561</v>
      </c>
      <c r="L287" s="830">
        <f>+(L288*$G$288+L289*$G$289+L290*$G$290+L291*$G$291+L292*$G$292+L293*$G$293+L294*$G$294+L295*$G$295+L296*$G$296+L297*$G$297+L298*$G$298)/$G$287</f>
        <v>9.0909090909090899</v>
      </c>
      <c r="M287" s="830">
        <f t="shared" ref="M287:W287" si="51">+(M288*$G$288+M289*$G$289+M290*$G$290+M291*$G$291+M292*$G$292+M293*$G$293+M294*$G$294+M295*$G$295+M296*$G$296+M297*$G$297+M298*$G$298)/$G$287</f>
        <v>6.7818181818181813</v>
      </c>
      <c r="N287" s="830">
        <f t="shared" si="51"/>
        <v>15.872727272727273</v>
      </c>
      <c r="O287" s="830">
        <f t="shared" si="51"/>
        <v>6.7818181818181813</v>
      </c>
      <c r="P287" s="830">
        <f t="shared" si="51"/>
        <v>6.7818181818181813</v>
      </c>
      <c r="Q287" s="830">
        <f t="shared" si="51"/>
        <v>6.7818181818181813</v>
      </c>
      <c r="R287" s="830">
        <f t="shared" si="51"/>
        <v>6.7818181818181813</v>
      </c>
      <c r="S287" s="830">
        <f t="shared" si="51"/>
        <v>15.872727272727273</v>
      </c>
      <c r="T287" s="830">
        <f t="shared" si="51"/>
        <v>6.7818181818181813</v>
      </c>
      <c r="U287" s="830">
        <f t="shared" si="51"/>
        <v>6.7818181818181813</v>
      </c>
      <c r="V287" s="830">
        <f t="shared" si="51"/>
        <v>6.7818181818181813</v>
      </c>
      <c r="W287" s="830">
        <f t="shared" si="51"/>
        <v>4.9636363636363638</v>
      </c>
      <c r="X287" s="1175">
        <f t="shared" si="38"/>
        <v>100.05454545454545</v>
      </c>
      <c r="Y287" s="663"/>
      <c r="Z287" s="20"/>
      <c r="AA287" s="20"/>
      <c r="AB287" s="20"/>
      <c r="AC287" s="20"/>
      <c r="AD287" s="20"/>
      <c r="AE287" s="20"/>
      <c r="AF287" s="20"/>
      <c r="AG287" s="20"/>
      <c r="AH287" s="20"/>
      <c r="AI287" s="20"/>
      <c r="AJ287" s="33"/>
      <c r="AK287" s="34"/>
    </row>
    <row r="288" spans="1:38" s="504" customFormat="1" ht="92.25" customHeight="1" x14ac:dyDescent="0.2">
      <c r="A288" s="1257" t="s">
        <v>1814</v>
      </c>
      <c r="B288" s="1111" t="s">
        <v>1019</v>
      </c>
      <c r="C288" s="1111" t="s">
        <v>1049</v>
      </c>
      <c r="D288" s="1176" t="s">
        <v>1066</v>
      </c>
      <c r="E288" s="703"/>
      <c r="F288" s="1164"/>
      <c r="G288" s="1142">
        <v>9.0909090909090917</v>
      </c>
      <c r="H288" s="1166" t="s">
        <v>1020</v>
      </c>
      <c r="I288" s="1352">
        <v>3</v>
      </c>
      <c r="J288" s="1345">
        <v>44200</v>
      </c>
      <c r="K288" s="1346">
        <v>44225</v>
      </c>
      <c r="L288" s="856">
        <v>100</v>
      </c>
      <c r="M288" s="820"/>
      <c r="N288" s="820"/>
      <c r="O288" s="820"/>
      <c r="P288" s="820"/>
      <c r="Q288" s="820"/>
      <c r="R288" s="820"/>
      <c r="S288" s="820"/>
      <c r="T288" s="820"/>
      <c r="U288" s="820"/>
      <c r="V288" s="820"/>
      <c r="W288" s="856"/>
      <c r="X288" s="1174">
        <f t="shared" si="38"/>
        <v>100</v>
      </c>
      <c r="Y288" s="663"/>
      <c r="Z288" s="20"/>
      <c r="AA288" s="20"/>
      <c r="AB288" s="20"/>
      <c r="AC288" s="20"/>
      <c r="AD288" s="20"/>
      <c r="AE288" s="20"/>
      <c r="AF288" s="20"/>
      <c r="AG288" s="20"/>
      <c r="AH288" s="20"/>
      <c r="AI288" s="20"/>
      <c r="AJ288" s="33"/>
      <c r="AK288" s="34"/>
    </row>
    <row r="289" spans="1:37" s="504" customFormat="1" ht="92.25" customHeight="1" x14ac:dyDescent="0.2">
      <c r="A289" s="1257" t="s">
        <v>1815</v>
      </c>
      <c r="B289" s="644" t="s">
        <v>1050</v>
      </c>
      <c r="C289" s="644" t="s">
        <v>1051</v>
      </c>
      <c r="D289" s="1007" t="s">
        <v>1066</v>
      </c>
      <c r="E289" s="610"/>
      <c r="F289" s="505"/>
      <c r="G289" s="827">
        <v>9.0909090909090917</v>
      </c>
      <c r="H289" s="1167" t="s">
        <v>1022</v>
      </c>
      <c r="I289" s="1353">
        <v>22</v>
      </c>
      <c r="J289" s="1340">
        <v>44228</v>
      </c>
      <c r="K289" s="1338">
        <v>44561</v>
      </c>
      <c r="L289" s="857"/>
      <c r="M289" s="749">
        <v>9.1</v>
      </c>
      <c r="N289" s="749">
        <v>9.1</v>
      </c>
      <c r="O289" s="749">
        <v>9.1</v>
      </c>
      <c r="P289" s="749">
        <v>9.1</v>
      </c>
      <c r="Q289" s="749">
        <v>9.1</v>
      </c>
      <c r="R289" s="749">
        <v>9.1</v>
      </c>
      <c r="S289" s="749">
        <v>9.1</v>
      </c>
      <c r="T289" s="749">
        <v>9.1</v>
      </c>
      <c r="U289" s="749">
        <v>9.1</v>
      </c>
      <c r="V289" s="749">
        <v>9.1</v>
      </c>
      <c r="W289" s="792">
        <v>9.1</v>
      </c>
      <c r="X289" s="888">
        <f t="shared" si="38"/>
        <v>100.09999999999998</v>
      </c>
      <c r="Y289" s="663"/>
      <c r="Z289" s="20"/>
      <c r="AA289" s="20"/>
      <c r="AB289" s="20"/>
      <c r="AC289" s="20"/>
      <c r="AD289" s="20"/>
      <c r="AE289" s="20"/>
      <c r="AF289" s="20"/>
      <c r="AG289" s="20"/>
      <c r="AH289" s="20"/>
      <c r="AI289" s="20"/>
      <c r="AJ289" s="33"/>
      <c r="AK289" s="34"/>
    </row>
    <row r="290" spans="1:37" s="504" customFormat="1" ht="92.25" customHeight="1" x14ac:dyDescent="0.2">
      <c r="A290" s="1257" t="s">
        <v>1816</v>
      </c>
      <c r="B290" s="644" t="s">
        <v>1996</v>
      </c>
      <c r="C290" s="644" t="s">
        <v>1995</v>
      </c>
      <c r="D290" s="1007" t="s">
        <v>1066</v>
      </c>
      <c r="E290" s="610"/>
      <c r="F290" s="505"/>
      <c r="G290" s="827">
        <v>9.0909090909090917</v>
      </c>
      <c r="H290" s="1167" t="s">
        <v>1022</v>
      </c>
      <c r="I290" s="1353">
        <v>1</v>
      </c>
      <c r="J290" s="1340">
        <v>44410</v>
      </c>
      <c r="K290" s="1338">
        <v>44439</v>
      </c>
      <c r="L290" s="857"/>
      <c r="M290" s="749"/>
      <c r="N290" s="749"/>
      <c r="O290" s="749"/>
      <c r="P290" s="749"/>
      <c r="Q290" s="749"/>
      <c r="R290" s="749"/>
      <c r="S290" s="749">
        <v>100</v>
      </c>
      <c r="T290" s="749"/>
      <c r="U290" s="749"/>
      <c r="V290" s="749"/>
      <c r="W290" s="857"/>
      <c r="X290" s="888">
        <f t="shared" si="38"/>
        <v>100</v>
      </c>
      <c r="Y290" s="663"/>
      <c r="Z290" s="20"/>
      <c r="AA290" s="20"/>
      <c r="AB290" s="20"/>
      <c r="AC290" s="20"/>
      <c r="AD290" s="20"/>
      <c r="AE290" s="20"/>
      <c r="AF290" s="20"/>
      <c r="AG290" s="20"/>
      <c r="AH290" s="20"/>
      <c r="AI290" s="20"/>
      <c r="AJ290" s="33"/>
      <c r="AK290" s="34"/>
    </row>
    <row r="291" spans="1:37" s="504" customFormat="1" ht="92.25" customHeight="1" x14ac:dyDescent="0.2">
      <c r="A291" s="1257" t="s">
        <v>1817</v>
      </c>
      <c r="B291" s="644" t="s">
        <v>1997</v>
      </c>
      <c r="C291" s="644" t="s">
        <v>1998</v>
      </c>
      <c r="D291" s="1007" t="s">
        <v>1066</v>
      </c>
      <c r="E291" s="610"/>
      <c r="F291" s="505"/>
      <c r="G291" s="827">
        <v>9.0909090909090917</v>
      </c>
      <c r="H291" s="1167" t="s">
        <v>1022</v>
      </c>
      <c r="I291" s="1353">
        <v>1</v>
      </c>
      <c r="J291" s="1340">
        <v>44256</v>
      </c>
      <c r="K291" s="1338">
        <v>44286</v>
      </c>
      <c r="L291" s="857"/>
      <c r="M291" s="749"/>
      <c r="N291" s="793">
        <v>100</v>
      </c>
      <c r="O291" s="793"/>
      <c r="P291" s="749"/>
      <c r="Q291" s="749"/>
      <c r="R291" s="749"/>
      <c r="S291" s="749"/>
      <c r="T291" s="749"/>
      <c r="U291" s="749"/>
      <c r="V291" s="749"/>
      <c r="W291" s="857"/>
      <c r="X291" s="888">
        <f t="shared" si="38"/>
        <v>100</v>
      </c>
      <c r="Y291" s="663"/>
      <c r="Z291" s="20"/>
      <c r="AA291" s="20"/>
      <c r="AB291" s="20"/>
      <c r="AC291" s="20"/>
      <c r="AD291" s="20"/>
      <c r="AE291" s="20"/>
      <c r="AF291" s="20"/>
      <c r="AG291" s="20"/>
      <c r="AH291" s="20"/>
      <c r="AI291" s="20"/>
      <c r="AJ291" s="33"/>
      <c r="AK291" s="34"/>
    </row>
    <row r="292" spans="1:37" s="504" customFormat="1" ht="92.25" customHeight="1" x14ac:dyDescent="0.2">
      <c r="A292" s="1257" t="s">
        <v>1818</v>
      </c>
      <c r="B292" s="644" t="s">
        <v>1026</v>
      </c>
      <c r="C292" s="644" t="s">
        <v>1052</v>
      </c>
      <c r="D292" s="1007" t="s">
        <v>1067</v>
      </c>
      <c r="E292" s="610"/>
      <c r="F292" s="505"/>
      <c r="G292" s="827">
        <v>9.0909090909090917</v>
      </c>
      <c r="H292" s="1167" t="s">
        <v>1053</v>
      </c>
      <c r="I292" s="1353">
        <v>22</v>
      </c>
      <c r="J292" s="1340">
        <v>44228</v>
      </c>
      <c r="K292" s="1338">
        <v>44561</v>
      </c>
      <c r="L292" s="857"/>
      <c r="M292" s="749">
        <v>9.1</v>
      </c>
      <c r="N292" s="749">
        <v>9.1</v>
      </c>
      <c r="O292" s="749">
        <v>9.1</v>
      </c>
      <c r="P292" s="749">
        <v>9.1</v>
      </c>
      <c r="Q292" s="749">
        <v>9.1</v>
      </c>
      <c r="R292" s="749">
        <v>9.1</v>
      </c>
      <c r="S292" s="749">
        <v>9.1</v>
      </c>
      <c r="T292" s="749">
        <v>9.1</v>
      </c>
      <c r="U292" s="749">
        <v>9.1</v>
      </c>
      <c r="V292" s="749">
        <v>9.1</v>
      </c>
      <c r="W292" s="792">
        <v>9.1</v>
      </c>
      <c r="X292" s="888">
        <f t="shared" si="38"/>
        <v>100.09999999999998</v>
      </c>
      <c r="Y292" s="663"/>
      <c r="Z292" s="20"/>
      <c r="AA292" s="20"/>
      <c r="AB292" s="20"/>
      <c r="AC292" s="20"/>
      <c r="AD292" s="20"/>
      <c r="AE292" s="20"/>
      <c r="AF292" s="20"/>
      <c r="AG292" s="20"/>
      <c r="AH292" s="20"/>
      <c r="AI292" s="20"/>
      <c r="AJ292" s="33"/>
      <c r="AK292" s="34"/>
    </row>
    <row r="293" spans="1:37" s="504" customFormat="1" ht="84.75" customHeight="1" x14ac:dyDescent="0.2">
      <c r="A293" s="1257" t="s">
        <v>1819</v>
      </c>
      <c r="B293" s="644" t="s">
        <v>1054</v>
      </c>
      <c r="C293" s="644" t="s">
        <v>1055</v>
      </c>
      <c r="D293" s="1007" t="s">
        <v>1067</v>
      </c>
      <c r="E293" s="610"/>
      <c r="F293" s="505"/>
      <c r="G293" s="827">
        <v>9.0909090909090917</v>
      </c>
      <c r="H293" s="1167" t="s">
        <v>1056</v>
      </c>
      <c r="I293" s="1353">
        <v>88</v>
      </c>
      <c r="J293" s="1340">
        <v>44228</v>
      </c>
      <c r="K293" s="1338">
        <v>44561</v>
      </c>
      <c r="L293" s="857"/>
      <c r="M293" s="749">
        <v>9.1</v>
      </c>
      <c r="N293" s="749">
        <v>9.1</v>
      </c>
      <c r="O293" s="749">
        <v>9.1</v>
      </c>
      <c r="P293" s="749">
        <v>9.1</v>
      </c>
      <c r="Q293" s="749">
        <v>9.1</v>
      </c>
      <c r="R293" s="749">
        <v>9.1</v>
      </c>
      <c r="S293" s="749">
        <v>9.1</v>
      </c>
      <c r="T293" s="749">
        <v>9.1</v>
      </c>
      <c r="U293" s="749">
        <v>9.1</v>
      </c>
      <c r="V293" s="749">
        <v>9.1</v>
      </c>
      <c r="W293" s="792">
        <v>9.1</v>
      </c>
      <c r="X293" s="888">
        <f t="shared" si="38"/>
        <v>100.09999999999998</v>
      </c>
      <c r="Y293" s="663"/>
      <c r="Z293" s="20"/>
      <c r="AA293" s="20"/>
      <c r="AB293" s="20"/>
      <c r="AC293" s="20"/>
      <c r="AD293" s="20"/>
      <c r="AE293" s="20"/>
      <c r="AF293" s="20"/>
      <c r="AG293" s="20"/>
      <c r="AH293" s="20"/>
      <c r="AI293" s="20"/>
      <c r="AJ293" s="33"/>
      <c r="AK293" s="34"/>
    </row>
    <row r="294" spans="1:37" s="504" customFormat="1" ht="90.75" customHeight="1" x14ac:dyDescent="0.2">
      <c r="A294" s="1257" t="s">
        <v>1820</v>
      </c>
      <c r="B294" s="643" t="s">
        <v>1999</v>
      </c>
      <c r="C294" s="644" t="s">
        <v>1057</v>
      </c>
      <c r="D294" s="1007" t="s">
        <v>1067</v>
      </c>
      <c r="E294" s="610"/>
      <c r="F294" s="505"/>
      <c r="G294" s="827">
        <v>9.0909090909090917</v>
      </c>
      <c r="H294" s="1167" t="s">
        <v>1058</v>
      </c>
      <c r="I294" s="1353">
        <v>88</v>
      </c>
      <c r="J294" s="1340">
        <v>44228</v>
      </c>
      <c r="K294" s="1338">
        <v>44561</v>
      </c>
      <c r="L294" s="857"/>
      <c r="M294" s="749">
        <v>9.1</v>
      </c>
      <c r="N294" s="749">
        <v>9.1</v>
      </c>
      <c r="O294" s="749">
        <v>9.1</v>
      </c>
      <c r="P294" s="749">
        <v>9.1</v>
      </c>
      <c r="Q294" s="749">
        <v>9.1</v>
      </c>
      <c r="R294" s="749">
        <v>9.1</v>
      </c>
      <c r="S294" s="749">
        <v>9.1</v>
      </c>
      <c r="T294" s="749">
        <v>9.1</v>
      </c>
      <c r="U294" s="749">
        <v>9.1</v>
      </c>
      <c r="V294" s="749">
        <v>9.1</v>
      </c>
      <c r="W294" s="792">
        <v>9.1</v>
      </c>
      <c r="X294" s="888">
        <f t="shared" si="38"/>
        <v>100.09999999999998</v>
      </c>
      <c r="Y294" s="663"/>
      <c r="Z294" s="20"/>
      <c r="AA294" s="20"/>
      <c r="AB294" s="20"/>
      <c r="AC294" s="20"/>
      <c r="AD294" s="20"/>
      <c r="AE294" s="20"/>
      <c r="AF294" s="20"/>
      <c r="AG294" s="20"/>
      <c r="AH294" s="20"/>
      <c r="AI294" s="20"/>
      <c r="AJ294" s="33"/>
      <c r="AK294" s="34"/>
    </row>
    <row r="295" spans="1:37" s="504" customFormat="1" ht="92.25" customHeight="1" x14ac:dyDescent="0.2">
      <c r="A295" s="1257" t="s">
        <v>1821</v>
      </c>
      <c r="B295" s="643" t="s">
        <v>1034</v>
      </c>
      <c r="C295" s="644" t="s">
        <v>1059</v>
      </c>
      <c r="D295" s="1007" t="s">
        <v>1068</v>
      </c>
      <c r="E295" s="610"/>
      <c r="F295" s="505"/>
      <c r="G295" s="827">
        <v>9.0909090909090917</v>
      </c>
      <c r="H295" s="1167" t="s">
        <v>1060</v>
      </c>
      <c r="I295" s="1353">
        <v>220</v>
      </c>
      <c r="J295" s="1340">
        <v>44228</v>
      </c>
      <c r="K295" s="1338">
        <v>44561</v>
      </c>
      <c r="L295" s="857"/>
      <c r="M295" s="749">
        <v>9.1</v>
      </c>
      <c r="N295" s="749">
        <v>9.1</v>
      </c>
      <c r="O295" s="749">
        <v>9.1</v>
      </c>
      <c r="P295" s="749">
        <v>9.1</v>
      </c>
      <c r="Q295" s="749">
        <v>9.1</v>
      </c>
      <c r="R295" s="749">
        <v>9.1</v>
      </c>
      <c r="S295" s="749">
        <v>9.1</v>
      </c>
      <c r="T295" s="749">
        <v>9.1</v>
      </c>
      <c r="U295" s="749">
        <v>9.1</v>
      </c>
      <c r="V295" s="749">
        <v>9.1</v>
      </c>
      <c r="W295" s="792">
        <v>9.1</v>
      </c>
      <c r="X295" s="888">
        <f t="shared" si="38"/>
        <v>100.09999999999998</v>
      </c>
      <c r="Y295" s="663"/>
      <c r="Z295" s="20"/>
      <c r="AA295" s="20"/>
      <c r="AB295" s="20"/>
      <c r="AC295" s="20"/>
      <c r="AD295" s="20"/>
      <c r="AE295" s="20"/>
      <c r="AF295" s="20"/>
      <c r="AG295" s="20"/>
      <c r="AH295" s="20"/>
      <c r="AI295" s="20"/>
      <c r="AJ295" s="33"/>
      <c r="AK295" s="34"/>
    </row>
    <row r="296" spans="1:37" s="504" customFormat="1" ht="92.25" customHeight="1" x14ac:dyDescent="0.2">
      <c r="A296" s="1257" t="s">
        <v>1822</v>
      </c>
      <c r="B296" s="643" t="s">
        <v>1061</v>
      </c>
      <c r="C296" s="644" t="s">
        <v>1062</v>
      </c>
      <c r="D296" s="1007" t="s">
        <v>1068</v>
      </c>
      <c r="E296" s="610"/>
      <c r="F296" s="505"/>
      <c r="G296" s="827">
        <v>9.0909090909090917</v>
      </c>
      <c r="H296" s="1167" t="s">
        <v>1030</v>
      </c>
      <c r="I296" s="1353">
        <v>33</v>
      </c>
      <c r="J296" s="1340">
        <v>44228</v>
      </c>
      <c r="K296" s="1338">
        <v>44561</v>
      </c>
      <c r="L296" s="857"/>
      <c r="M296" s="749">
        <v>9.1</v>
      </c>
      <c r="N296" s="749">
        <v>9.1</v>
      </c>
      <c r="O296" s="749">
        <v>9.1</v>
      </c>
      <c r="P296" s="749">
        <v>9.1</v>
      </c>
      <c r="Q296" s="749">
        <v>9.1</v>
      </c>
      <c r="R296" s="749">
        <v>9.1</v>
      </c>
      <c r="S296" s="749">
        <v>9.1</v>
      </c>
      <c r="T296" s="749">
        <v>9.1</v>
      </c>
      <c r="U296" s="749">
        <v>9.1</v>
      </c>
      <c r="V296" s="749">
        <v>9.1</v>
      </c>
      <c r="W296" s="792">
        <v>9.1</v>
      </c>
      <c r="X296" s="888">
        <f t="shared" si="38"/>
        <v>100.09999999999998</v>
      </c>
      <c r="Y296" s="663"/>
      <c r="Z296" s="20"/>
      <c r="AA296" s="20"/>
      <c r="AB296" s="20"/>
      <c r="AC296" s="20"/>
      <c r="AD296" s="20"/>
      <c r="AE296" s="20"/>
      <c r="AF296" s="20"/>
      <c r="AG296" s="20"/>
      <c r="AH296" s="20"/>
      <c r="AI296" s="20"/>
      <c r="AJ296" s="33"/>
      <c r="AK296" s="34"/>
    </row>
    <row r="297" spans="1:37" s="504" customFormat="1" ht="92.25" customHeight="1" x14ac:dyDescent="0.2">
      <c r="A297" s="1257" t="s">
        <v>1823</v>
      </c>
      <c r="B297" s="643" t="s">
        <v>1063</v>
      </c>
      <c r="C297" s="644" t="s">
        <v>2000</v>
      </c>
      <c r="D297" s="1007" t="s">
        <v>1068</v>
      </c>
      <c r="E297" s="610"/>
      <c r="F297" s="505"/>
      <c r="G297" s="827">
        <v>9.0909090909090917</v>
      </c>
      <c r="H297" s="1167" t="s">
        <v>1038</v>
      </c>
      <c r="I297" s="1353">
        <v>20</v>
      </c>
      <c r="J297" s="1340">
        <v>44228</v>
      </c>
      <c r="K297" s="1338">
        <v>44530</v>
      </c>
      <c r="L297" s="857"/>
      <c r="M297" s="749">
        <v>10</v>
      </c>
      <c r="N297" s="749">
        <v>10</v>
      </c>
      <c r="O297" s="749">
        <v>10</v>
      </c>
      <c r="P297" s="749">
        <v>10</v>
      </c>
      <c r="Q297" s="749">
        <v>10</v>
      </c>
      <c r="R297" s="749">
        <v>10</v>
      </c>
      <c r="S297" s="749">
        <v>10</v>
      </c>
      <c r="T297" s="749">
        <v>10</v>
      </c>
      <c r="U297" s="749">
        <v>10</v>
      </c>
      <c r="V297" s="749">
        <v>10</v>
      </c>
      <c r="W297" s="857"/>
      <c r="X297" s="888">
        <f t="shared" si="38"/>
        <v>100</v>
      </c>
      <c r="Y297" s="663"/>
      <c r="Z297" s="20"/>
      <c r="AA297" s="20"/>
      <c r="AB297" s="20"/>
      <c r="AC297" s="20"/>
      <c r="AD297" s="20"/>
      <c r="AE297" s="20"/>
      <c r="AF297" s="20"/>
      <c r="AG297" s="20"/>
      <c r="AH297" s="20"/>
      <c r="AI297" s="20"/>
      <c r="AJ297" s="33"/>
      <c r="AK297" s="34"/>
    </row>
    <row r="298" spans="1:37" s="504" customFormat="1" ht="92.25" customHeight="1" thickBot="1" x14ac:dyDescent="0.25">
      <c r="A298" s="1257" t="s">
        <v>1824</v>
      </c>
      <c r="B298" s="745" t="s">
        <v>1064</v>
      </c>
      <c r="C298" s="745" t="s">
        <v>2001</v>
      </c>
      <c r="D298" s="1177" t="s">
        <v>1068</v>
      </c>
      <c r="E298" s="751"/>
      <c r="F298" s="766"/>
      <c r="G298" s="1173">
        <v>9.0909090909090917</v>
      </c>
      <c r="H298" s="1168" t="s">
        <v>1038</v>
      </c>
      <c r="I298" s="1353">
        <v>10</v>
      </c>
      <c r="J298" s="1340">
        <v>44228</v>
      </c>
      <c r="K298" s="1338">
        <v>44530</v>
      </c>
      <c r="L298" s="858"/>
      <c r="M298" s="750">
        <v>10</v>
      </c>
      <c r="N298" s="750">
        <v>10</v>
      </c>
      <c r="O298" s="750">
        <v>10</v>
      </c>
      <c r="P298" s="750">
        <v>10</v>
      </c>
      <c r="Q298" s="750">
        <v>10</v>
      </c>
      <c r="R298" s="750">
        <v>10</v>
      </c>
      <c r="S298" s="750">
        <v>10</v>
      </c>
      <c r="T298" s="750">
        <v>10</v>
      </c>
      <c r="U298" s="750">
        <v>10</v>
      </c>
      <c r="V298" s="750">
        <v>10</v>
      </c>
      <c r="W298" s="858"/>
      <c r="X298" s="1214">
        <f t="shared" si="38"/>
        <v>100</v>
      </c>
      <c r="Y298" s="663"/>
      <c r="Z298" s="20"/>
      <c r="AA298" s="20"/>
      <c r="AB298" s="20"/>
      <c r="AC298" s="20"/>
      <c r="AD298" s="20"/>
      <c r="AE298" s="20"/>
      <c r="AF298" s="20"/>
      <c r="AG298" s="20"/>
      <c r="AH298" s="20"/>
      <c r="AI298" s="20"/>
      <c r="AJ298" s="33"/>
      <c r="AK298" s="34"/>
    </row>
    <row r="299" spans="1:37" s="504" customFormat="1" ht="111" customHeight="1" thickBot="1" x14ac:dyDescent="0.25">
      <c r="A299" s="1270" t="str">
        <f>'FORM-2'!D16</f>
        <v>3.7.2.5</v>
      </c>
      <c r="B299" s="1114" t="str">
        <f>'FORM-2'!E16</f>
        <v>352 beneficiados con psicoterapias especializadas e integrales, moviles y en camara gessel a niñas, niños, adolescentes victimas de violencia sexual y sus familias derivadas al Centro Especializado Prevencion y Atencion Terapeutica CEPAT</v>
      </c>
      <c r="C299" s="1181" t="str">
        <f>'FORM-2'!H16</f>
        <v>352 personas beneficiadas con atencion psicoterapeutica y social especializada</v>
      </c>
      <c r="D299" s="1182" t="s">
        <v>1070</v>
      </c>
      <c r="E299" s="1112"/>
      <c r="F299" s="769">
        <v>10</v>
      </c>
      <c r="G299" s="1187">
        <f>SUM(G300:G310)</f>
        <v>100.00000000000001</v>
      </c>
      <c r="H299" s="1178" t="s">
        <v>1246</v>
      </c>
      <c r="I299" s="1351">
        <v>352</v>
      </c>
      <c r="J299" s="1348">
        <v>44200</v>
      </c>
      <c r="K299" s="1349">
        <v>44561</v>
      </c>
      <c r="L299" s="830">
        <f>+(L300*$G$300+L301*$G$301+L302*$G$302+L303*$G$303+L304*$G$304+L305*$G$305+L306*$G$306+L307*$G$307+L308*$G$308+L309*$G$309+L310*$G$310)/$G$299</f>
        <v>9.0909090909090899</v>
      </c>
      <c r="M299" s="830">
        <f t="shared" ref="M299:W299" si="52">+(M300*$G$300+M301*$G$301+M302*$G$302+M303*$G$303+M304*$G$304+M305*$G$305+M306*$G$306+M307*$G$307+M308*$G$308+M309*$G$309+M310*$G$310)/$G$299</f>
        <v>4.8842612730172528</v>
      </c>
      <c r="N299" s="830">
        <f t="shared" si="52"/>
        <v>23.975776424532402</v>
      </c>
      <c r="O299" s="830">
        <f t="shared" si="52"/>
        <v>6.862857764245323</v>
      </c>
      <c r="P299" s="830">
        <f t="shared" si="52"/>
        <v>6.862857764245323</v>
      </c>
      <c r="Q299" s="830">
        <f t="shared" si="52"/>
        <v>6.862857764245323</v>
      </c>
      <c r="R299" s="830">
        <f t="shared" si="52"/>
        <v>6.862857764245323</v>
      </c>
      <c r="S299" s="830">
        <f t="shared" si="52"/>
        <v>6.862857764245323</v>
      </c>
      <c r="T299" s="830">
        <f t="shared" si="52"/>
        <v>6.862857764245323</v>
      </c>
      <c r="U299" s="830">
        <f t="shared" si="52"/>
        <v>6.9113426127301718</v>
      </c>
      <c r="V299" s="830">
        <f t="shared" si="52"/>
        <v>6.9113426127301718</v>
      </c>
      <c r="W299" s="830">
        <f t="shared" si="52"/>
        <v>6.9567971581847168</v>
      </c>
      <c r="X299" s="1175">
        <f t="shared" si="38"/>
        <v>99.907575757575714</v>
      </c>
      <c r="Y299" s="663"/>
      <c r="Z299" s="20"/>
      <c r="AA299" s="20"/>
      <c r="AB299" s="20"/>
      <c r="AC299" s="20"/>
      <c r="AD299" s="20"/>
      <c r="AE299" s="20"/>
      <c r="AF299" s="20"/>
      <c r="AG299" s="20"/>
      <c r="AH299" s="20"/>
      <c r="AI299" s="20"/>
      <c r="AJ299" s="33"/>
      <c r="AK299" s="34"/>
    </row>
    <row r="300" spans="1:37" s="504" customFormat="1" ht="92.25" customHeight="1" x14ac:dyDescent="0.2">
      <c r="A300" s="1257" t="s">
        <v>1825</v>
      </c>
      <c r="B300" s="1418" t="s">
        <v>2002</v>
      </c>
      <c r="C300" s="683" t="s">
        <v>2005</v>
      </c>
      <c r="D300" s="1183" t="s">
        <v>1071</v>
      </c>
      <c r="E300" s="767"/>
      <c r="F300" s="768"/>
      <c r="G300" s="1188">
        <v>9.0909090909090917</v>
      </c>
      <c r="H300" s="1184" t="s">
        <v>1072</v>
      </c>
      <c r="I300" s="1356">
        <v>152</v>
      </c>
      <c r="J300" s="783">
        <v>44228</v>
      </c>
      <c r="K300" s="934">
        <v>44561</v>
      </c>
      <c r="L300" s="752"/>
      <c r="M300" s="752">
        <f>13*0.657894736842105</f>
        <v>8.5526315789473646</v>
      </c>
      <c r="N300" s="752">
        <f>13*0.657894736842105</f>
        <v>8.5526315789473646</v>
      </c>
      <c r="O300" s="752">
        <f t="shared" ref="O300:W300" si="53">14*0.657894736842105</f>
        <v>9.210526315789469</v>
      </c>
      <c r="P300" s="752">
        <f t="shared" si="53"/>
        <v>9.210526315789469</v>
      </c>
      <c r="Q300" s="752">
        <f t="shared" si="53"/>
        <v>9.210526315789469</v>
      </c>
      <c r="R300" s="752">
        <f t="shared" si="53"/>
        <v>9.210526315789469</v>
      </c>
      <c r="S300" s="752">
        <f t="shared" si="53"/>
        <v>9.210526315789469</v>
      </c>
      <c r="T300" s="752">
        <f t="shared" si="53"/>
        <v>9.210526315789469</v>
      </c>
      <c r="U300" s="752">
        <f t="shared" si="53"/>
        <v>9.210526315789469</v>
      </c>
      <c r="V300" s="752">
        <f t="shared" si="53"/>
        <v>9.210526315789469</v>
      </c>
      <c r="W300" s="752">
        <f t="shared" si="53"/>
        <v>9.210526315789469</v>
      </c>
      <c r="X300" s="1174">
        <f t="shared" si="38"/>
        <v>99.999999999999929</v>
      </c>
      <c r="Y300" s="663"/>
      <c r="Z300" s="20"/>
      <c r="AA300" s="20"/>
      <c r="AB300" s="20"/>
      <c r="AC300" s="20"/>
      <c r="AD300" s="20"/>
      <c r="AE300" s="20"/>
      <c r="AF300" s="20"/>
      <c r="AG300" s="20"/>
      <c r="AH300" s="20"/>
      <c r="AI300" s="20"/>
      <c r="AJ300" s="33"/>
      <c r="AK300" s="34"/>
    </row>
    <row r="301" spans="1:37" s="504" customFormat="1" ht="92.25" customHeight="1" x14ac:dyDescent="0.2">
      <c r="A301" s="1257" t="s">
        <v>1826</v>
      </c>
      <c r="B301" s="640" t="s">
        <v>2003</v>
      </c>
      <c r="C301" s="639" t="s">
        <v>2004</v>
      </c>
      <c r="D301" s="748" t="s">
        <v>1071</v>
      </c>
      <c r="E301" s="746"/>
      <c r="F301" s="762"/>
      <c r="G301" s="1189">
        <v>9.0909090909090917</v>
      </c>
      <c r="H301" s="1185" t="s">
        <v>1072</v>
      </c>
      <c r="I301" s="1356">
        <v>200</v>
      </c>
      <c r="J301" s="783">
        <v>44228</v>
      </c>
      <c r="K301" s="934">
        <v>44561</v>
      </c>
      <c r="L301" s="753"/>
      <c r="M301" s="753">
        <f>18*0.5</f>
        <v>9</v>
      </c>
      <c r="N301" s="753">
        <f t="shared" ref="N301:V301" si="54">18*0.5</f>
        <v>9</v>
      </c>
      <c r="O301" s="753">
        <f t="shared" si="54"/>
        <v>9</v>
      </c>
      <c r="P301" s="753">
        <f t="shared" si="54"/>
        <v>9</v>
      </c>
      <c r="Q301" s="753">
        <f t="shared" si="54"/>
        <v>9</v>
      </c>
      <c r="R301" s="753">
        <f t="shared" si="54"/>
        <v>9</v>
      </c>
      <c r="S301" s="753">
        <f t="shared" si="54"/>
        <v>9</v>
      </c>
      <c r="T301" s="753">
        <f t="shared" si="54"/>
        <v>9</v>
      </c>
      <c r="U301" s="753">
        <f t="shared" si="54"/>
        <v>9</v>
      </c>
      <c r="V301" s="753">
        <f t="shared" si="54"/>
        <v>9</v>
      </c>
      <c r="W301" s="753">
        <f>19*0.5</f>
        <v>9.5</v>
      </c>
      <c r="X301" s="888">
        <f t="shared" si="38"/>
        <v>99.5</v>
      </c>
      <c r="Y301" s="663"/>
      <c r="Z301" s="20"/>
      <c r="AA301" s="20"/>
      <c r="AB301" s="20"/>
      <c r="AC301" s="20"/>
      <c r="AD301" s="20"/>
      <c r="AE301" s="20"/>
      <c r="AF301" s="20"/>
      <c r="AG301" s="20"/>
      <c r="AH301" s="20"/>
      <c r="AI301" s="20"/>
      <c r="AJ301" s="33"/>
      <c r="AK301" s="34"/>
    </row>
    <row r="302" spans="1:37" s="504" customFormat="1" ht="92.25" customHeight="1" x14ac:dyDescent="0.2">
      <c r="A302" s="1257" t="s">
        <v>1827</v>
      </c>
      <c r="B302" s="639" t="s">
        <v>1384</v>
      </c>
      <c r="C302" s="639" t="s">
        <v>2006</v>
      </c>
      <c r="D302" s="748" t="s">
        <v>1071</v>
      </c>
      <c r="E302" s="747"/>
      <c r="F302" s="763"/>
      <c r="G302" s="1189">
        <v>9.0909090909090917</v>
      </c>
      <c r="H302" s="1186" t="s">
        <v>1073</v>
      </c>
      <c r="I302" s="1356">
        <v>1000</v>
      </c>
      <c r="J302" s="783">
        <v>44287</v>
      </c>
      <c r="K302" s="934">
        <v>44561</v>
      </c>
      <c r="L302" s="753"/>
      <c r="M302" s="753"/>
      <c r="N302" s="753"/>
      <c r="O302" s="753">
        <f>111*0.1</f>
        <v>11.100000000000001</v>
      </c>
      <c r="P302" s="753">
        <f t="shared" ref="P302:W302" si="55">111*0.1</f>
        <v>11.100000000000001</v>
      </c>
      <c r="Q302" s="753">
        <f t="shared" si="55"/>
        <v>11.100000000000001</v>
      </c>
      <c r="R302" s="753">
        <f t="shared" si="55"/>
        <v>11.100000000000001</v>
      </c>
      <c r="S302" s="753">
        <f t="shared" si="55"/>
        <v>11.100000000000001</v>
      </c>
      <c r="T302" s="753">
        <f t="shared" si="55"/>
        <v>11.100000000000001</v>
      </c>
      <c r="U302" s="753">
        <f t="shared" si="55"/>
        <v>11.100000000000001</v>
      </c>
      <c r="V302" s="753">
        <f t="shared" si="55"/>
        <v>11.100000000000001</v>
      </c>
      <c r="W302" s="753">
        <f t="shared" si="55"/>
        <v>11.100000000000001</v>
      </c>
      <c r="X302" s="888">
        <f t="shared" si="38"/>
        <v>99.9</v>
      </c>
      <c r="Y302" s="663"/>
      <c r="Z302" s="20"/>
      <c r="AA302" s="20"/>
      <c r="AB302" s="20"/>
      <c r="AC302" s="20"/>
      <c r="AD302" s="20"/>
      <c r="AE302" s="20"/>
      <c r="AF302" s="20"/>
      <c r="AG302" s="20"/>
      <c r="AH302" s="20"/>
      <c r="AI302" s="20"/>
      <c r="AJ302" s="33"/>
      <c r="AK302" s="34"/>
    </row>
    <row r="303" spans="1:37" s="504" customFormat="1" ht="103.5" customHeight="1" x14ac:dyDescent="0.2">
      <c r="A303" s="1257" t="s">
        <v>1828</v>
      </c>
      <c r="B303" s="639" t="s">
        <v>1385</v>
      </c>
      <c r="C303" s="639" t="s">
        <v>2007</v>
      </c>
      <c r="D303" s="748" t="s">
        <v>1071</v>
      </c>
      <c r="E303" s="747"/>
      <c r="F303" s="763"/>
      <c r="G303" s="1189">
        <v>9.0909090909090917</v>
      </c>
      <c r="H303" s="1186" t="s">
        <v>1073</v>
      </c>
      <c r="I303" s="1356">
        <v>200</v>
      </c>
      <c r="J303" s="783">
        <v>44256</v>
      </c>
      <c r="K303" s="934">
        <v>44561</v>
      </c>
      <c r="L303" s="753"/>
      <c r="M303" s="753"/>
      <c r="N303" s="753">
        <v>10</v>
      </c>
      <c r="O303" s="753">
        <v>10</v>
      </c>
      <c r="P303" s="753">
        <v>10</v>
      </c>
      <c r="Q303" s="753">
        <v>10</v>
      </c>
      <c r="R303" s="753">
        <v>10</v>
      </c>
      <c r="S303" s="753">
        <v>10</v>
      </c>
      <c r="T303" s="753">
        <v>10</v>
      </c>
      <c r="U303" s="753">
        <v>10</v>
      </c>
      <c r="V303" s="753">
        <v>10</v>
      </c>
      <c r="W303" s="754">
        <v>10</v>
      </c>
      <c r="X303" s="888">
        <f t="shared" si="38"/>
        <v>100</v>
      </c>
      <c r="Y303" s="663"/>
      <c r="Z303" s="20"/>
      <c r="AA303" s="20"/>
      <c r="AB303" s="20"/>
      <c r="AC303" s="20"/>
      <c r="AD303" s="20"/>
      <c r="AE303" s="20"/>
      <c r="AF303" s="20"/>
      <c r="AG303" s="20"/>
      <c r="AH303" s="20"/>
      <c r="AI303" s="20"/>
      <c r="AJ303" s="33"/>
      <c r="AK303" s="34"/>
    </row>
    <row r="304" spans="1:37" s="504" customFormat="1" ht="92.25" customHeight="1" x14ac:dyDescent="0.2">
      <c r="A304" s="1257" t="s">
        <v>1829</v>
      </c>
      <c r="B304" s="639" t="s">
        <v>1387</v>
      </c>
      <c r="C304" s="639" t="s">
        <v>2008</v>
      </c>
      <c r="D304" s="653" t="s">
        <v>1071</v>
      </c>
      <c r="E304" s="610"/>
      <c r="F304" s="764"/>
      <c r="G304" s="1190">
        <v>9.0909090909090917</v>
      </c>
      <c r="H304" s="1157" t="s">
        <v>1073</v>
      </c>
      <c r="I304" s="1364">
        <v>500</v>
      </c>
      <c r="J304" s="935">
        <v>44228</v>
      </c>
      <c r="K304" s="936">
        <v>44561</v>
      </c>
      <c r="L304" s="755"/>
      <c r="M304" s="755">
        <f>45*0.2</f>
        <v>9</v>
      </c>
      <c r="N304" s="755">
        <f t="shared" ref="N304:T304" si="56">45*0.2</f>
        <v>9</v>
      </c>
      <c r="O304" s="755">
        <f t="shared" si="56"/>
        <v>9</v>
      </c>
      <c r="P304" s="755">
        <f t="shared" si="56"/>
        <v>9</v>
      </c>
      <c r="Q304" s="755">
        <f t="shared" si="56"/>
        <v>9</v>
      </c>
      <c r="R304" s="755">
        <f t="shared" si="56"/>
        <v>9</v>
      </c>
      <c r="S304" s="755">
        <f t="shared" si="56"/>
        <v>9</v>
      </c>
      <c r="T304" s="755">
        <f t="shared" si="56"/>
        <v>9</v>
      </c>
      <c r="U304" s="755">
        <f>46*0.2</f>
        <v>9.2000000000000011</v>
      </c>
      <c r="V304" s="755">
        <f>46*0.2</f>
        <v>9.2000000000000011</v>
      </c>
      <c r="W304" s="755">
        <f>46*0.2</f>
        <v>9.2000000000000011</v>
      </c>
      <c r="X304" s="888">
        <f t="shared" si="38"/>
        <v>99.600000000000009</v>
      </c>
      <c r="Y304" s="663"/>
      <c r="Z304" s="20"/>
      <c r="AA304" s="20"/>
      <c r="AB304" s="20"/>
      <c r="AC304" s="20"/>
      <c r="AD304" s="20"/>
      <c r="AE304" s="20"/>
      <c r="AF304" s="20"/>
      <c r="AG304" s="20"/>
      <c r="AH304" s="20"/>
      <c r="AI304" s="20"/>
      <c r="AJ304" s="33"/>
      <c r="AK304" s="34"/>
    </row>
    <row r="305" spans="1:37" s="504" customFormat="1" ht="92.25" customHeight="1" x14ac:dyDescent="0.2">
      <c r="A305" s="1257" t="s">
        <v>1830</v>
      </c>
      <c r="B305" s="639" t="s">
        <v>1386</v>
      </c>
      <c r="C305" s="642" t="s">
        <v>2009</v>
      </c>
      <c r="D305" s="653" t="s">
        <v>1071</v>
      </c>
      <c r="E305" s="610"/>
      <c r="F305" s="764"/>
      <c r="G305" s="1190">
        <v>9.0909090909090917</v>
      </c>
      <c r="H305" s="1157" t="s">
        <v>1073</v>
      </c>
      <c r="I305" s="1364">
        <v>1200</v>
      </c>
      <c r="J305" s="935">
        <v>44228</v>
      </c>
      <c r="K305" s="936">
        <v>44561</v>
      </c>
      <c r="L305" s="755"/>
      <c r="M305" s="755">
        <f>109*0.0833333333333333</f>
        <v>9.0833333333333304</v>
      </c>
      <c r="N305" s="755">
        <v>9.09</v>
      </c>
      <c r="O305" s="755">
        <v>9.09</v>
      </c>
      <c r="P305" s="755">
        <v>9.09</v>
      </c>
      <c r="Q305" s="755">
        <v>9.09</v>
      </c>
      <c r="R305" s="755">
        <v>9.09</v>
      </c>
      <c r="S305" s="755">
        <v>9.09</v>
      </c>
      <c r="T305" s="755">
        <v>9.09</v>
      </c>
      <c r="U305" s="755">
        <v>9.09</v>
      </c>
      <c r="V305" s="755">
        <v>9.09</v>
      </c>
      <c r="W305" s="880">
        <v>9.09</v>
      </c>
      <c r="X305" s="888">
        <f t="shared" si="38"/>
        <v>99.983333333333348</v>
      </c>
      <c r="Y305" s="663"/>
      <c r="Z305" s="20"/>
      <c r="AA305" s="20"/>
      <c r="AB305" s="20"/>
      <c r="AC305" s="20"/>
      <c r="AD305" s="20"/>
      <c r="AE305" s="20"/>
      <c r="AF305" s="20"/>
      <c r="AG305" s="20"/>
      <c r="AH305" s="20"/>
      <c r="AI305" s="20"/>
      <c r="AJ305" s="33"/>
      <c r="AK305" s="34"/>
    </row>
    <row r="306" spans="1:37" s="504" customFormat="1" ht="92.25" customHeight="1" x14ac:dyDescent="0.2">
      <c r="A306" s="1257" t="s">
        <v>1831</v>
      </c>
      <c r="B306" s="1179" t="s">
        <v>1388</v>
      </c>
      <c r="C306" s="642" t="s">
        <v>2010</v>
      </c>
      <c r="D306" s="653" t="s">
        <v>1071</v>
      </c>
      <c r="E306" s="610"/>
      <c r="F306" s="764"/>
      <c r="G306" s="1190">
        <v>9.0909090909090917</v>
      </c>
      <c r="H306" s="1157" t="s">
        <v>1073</v>
      </c>
      <c r="I306" s="1364">
        <v>300</v>
      </c>
      <c r="J306" s="935">
        <v>44228</v>
      </c>
      <c r="K306" s="936">
        <v>44561</v>
      </c>
      <c r="L306" s="755"/>
      <c r="M306" s="777">
        <f>27*0.333333333333333</f>
        <v>8.9999999999999911</v>
      </c>
      <c r="N306" s="777">
        <f t="shared" ref="N306:T306" si="57">27*0.333333333333333</f>
        <v>8.9999999999999911</v>
      </c>
      <c r="O306" s="777">
        <f t="shared" si="57"/>
        <v>8.9999999999999911</v>
      </c>
      <c r="P306" s="777">
        <f t="shared" si="57"/>
        <v>8.9999999999999911</v>
      </c>
      <c r="Q306" s="777">
        <f t="shared" si="57"/>
        <v>8.9999999999999911</v>
      </c>
      <c r="R306" s="777">
        <f t="shared" si="57"/>
        <v>8.9999999999999911</v>
      </c>
      <c r="S306" s="777">
        <f t="shared" si="57"/>
        <v>8.9999999999999911</v>
      </c>
      <c r="T306" s="777">
        <f t="shared" si="57"/>
        <v>8.9999999999999911</v>
      </c>
      <c r="U306" s="777">
        <f>28*0.333333333333333</f>
        <v>9.3333333333333233</v>
      </c>
      <c r="V306" s="777">
        <f t="shared" ref="V306:W306" si="58">28*0.333333333333333</f>
        <v>9.3333333333333233</v>
      </c>
      <c r="W306" s="777">
        <f t="shared" si="58"/>
        <v>9.3333333333333233</v>
      </c>
      <c r="X306" s="888">
        <f t="shared" si="38"/>
        <v>99.999999999999915</v>
      </c>
      <c r="Y306" s="663"/>
      <c r="Z306" s="20"/>
      <c r="AA306" s="20"/>
      <c r="AB306" s="20"/>
      <c r="AC306" s="20"/>
      <c r="AD306" s="20"/>
      <c r="AE306" s="20"/>
      <c r="AF306" s="20"/>
      <c r="AG306" s="20"/>
      <c r="AH306" s="20"/>
      <c r="AI306" s="20"/>
      <c r="AJ306" s="33"/>
      <c r="AK306" s="34"/>
    </row>
    <row r="307" spans="1:37" s="504" customFormat="1" ht="81.75" customHeight="1" x14ac:dyDescent="0.2">
      <c r="A307" s="1257" t="s">
        <v>1832</v>
      </c>
      <c r="B307" s="1125" t="s">
        <v>1074</v>
      </c>
      <c r="C307" s="639" t="s">
        <v>1893</v>
      </c>
      <c r="D307" s="653" t="s">
        <v>1075</v>
      </c>
      <c r="E307" s="703"/>
      <c r="F307" s="765"/>
      <c r="G307" s="1190">
        <v>9.0909090909090917</v>
      </c>
      <c r="H307" s="1156" t="s">
        <v>804</v>
      </c>
      <c r="I307" s="1364">
        <v>6</v>
      </c>
      <c r="J307" s="935">
        <v>44200</v>
      </c>
      <c r="K307" s="936">
        <v>44225</v>
      </c>
      <c r="L307" s="757">
        <v>100</v>
      </c>
      <c r="M307" s="758"/>
      <c r="N307" s="758"/>
      <c r="O307" s="758"/>
      <c r="P307" s="758"/>
      <c r="Q307" s="758"/>
      <c r="R307" s="758"/>
      <c r="S307" s="758"/>
      <c r="T307" s="758"/>
      <c r="U307" s="758"/>
      <c r="V307" s="758"/>
      <c r="W307" s="881"/>
      <c r="X307" s="888">
        <f t="shared" si="38"/>
        <v>100</v>
      </c>
      <c r="Y307" s="663"/>
      <c r="Z307" s="20"/>
      <c r="AA307" s="20"/>
      <c r="AB307" s="20"/>
      <c r="AC307" s="20"/>
      <c r="AD307" s="20"/>
      <c r="AE307" s="20"/>
      <c r="AF307" s="20"/>
      <c r="AG307" s="20"/>
      <c r="AH307" s="20"/>
      <c r="AI307" s="20"/>
      <c r="AJ307" s="33"/>
      <c r="AK307" s="34"/>
    </row>
    <row r="308" spans="1:37" s="504" customFormat="1" ht="81.75" customHeight="1" x14ac:dyDescent="0.2">
      <c r="A308" s="1257" t="s">
        <v>1833</v>
      </c>
      <c r="B308" s="639" t="s">
        <v>1076</v>
      </c>
      <c r="C308" s="639" t="s">
        <v>2011</v>
      </c>
      <c r="D308" s="653" t="s">
        <v>1075</v>
      </c>
      <c r="E308" s="610"/>
      <c r="F308" s="764"/>
      <c r="G308" s="1190">
        <v>9.0909090909090917</v>
      </c>
      <c r="H308" s="1157" t="s">
        <v>804</v>
      </c>
      <c r="I308" s="1364">
        <v>2</v>
      </c>
      <c r="J308" s="935">
        <v>44256</v>
      </c>
      <c r="K308" s="936">
        <v>44286</v>
      </c>
      <c r="L308" s="755"/>
      <c r="M308" s="759"/>
      <c r="N308" s="759">
        <v>100</v>
      </c>
      <c r="O308" s="759"/>
      <c r="P308" s="759"/>
      <c r="Q308" s="759"/>
      <c r="R308" s="759"/>
      <c r="S308" s="759"/>
      <c r="T308" s="759"/>
      <c r="U308" s="759"/>
      <c r="V308" s="759"/>
      <c r="W308" s="761"/>
      <c r="X308" s="888">
        <f t="shared" si="38"/>
        <v>100</v>
      </c>
      <c r="Y308" s="663"/>
      <c r="Z308" s="20"/>
      <c r="AA308" s="20"/>
      <c r="AB308" s="20"/>
      <c r="AC308" s="20"/>
      <c r="AD308" s="20"/>
      <c r="AE308" s="20"/>
      <c r="AF308" s="20"/>
      <c r="AG308" s="20"/>
      <c r="AH308" s="20"/>
      <c r="AI308" s="20"/>
      <c r="AJ308" s="33"/>
      <c r="AK308" s="34"/>
    </row>
    <row r="309" spans="1:37" s="504" customFormat="1" ht="106.5" customHeight="1" x14ac:dyDescent="0.2">
      <c r="A309" s="1257" t="s">
        <v>1834</v>
      </c>
      <c r="B309" s="639" t="s">
        <v>1077</v>
      </c>
      <c r="C309" s="639" t="s">
        <v>2013</v>
      </c>
      <c r="D309" s="653" t="s">
        <v>1071</v>
      </c>
      <c r="E309" s="610"/>
      <c r="F309" s="764"/>
      <c r="G309" s="1190">
        <v>9.0909090909090917</v>
      </c>
      <c r="H309" s="1157" t="s">
        <v>804</v>
      </c>
      <c r="I309" s="1364">
        <v>33</v>
      </c>
      <c r="J309" s="935">
        <v>44228</v>
      </c>
      <c r="K309" s="936">
        <v>44561</v>
      </c>
      <c r="L309" s="755"/>
      <c r="M309" s="755">
        <v>9.0909090909090917</v>
      </c>
      <c r="N309" s="755">
        <v>9.0909090909090917</v>
      </c>
      <c r="O309" s="755">
        <v>9.0909090909090917</v>
      </c>
      <c r="P309" s="755">
        <v>9.0909090909090917</v>
      </c>
      <c r="Q309" s="755">
        <v>9.0909090909090917</v>
      </c>
      <c r="R309" s="755">
        <v>9.0909090909090917</v>
      </c>
      <c r="S309" s="755">
        <v>9.0909090909090917</v>
      </c>
      <c r="T309" s="755">
        <v>9.0909090909090917</v>
      </c>
      <c r="U309" s="755">
        <v>9.0909090909090917</v>
      </c>
      <c r="V309" s="755">
        <v>9.0909090909090917</v>
      </c>
      <c r="W309" s="880">
        <v>9.0909090909090917</v>
      </c>
      <c r="X309" s="888">
        <f t="shared" si="38"/>
        <v>100.00000000000001</v>
      </c>
      <c r="Y309" s="663"/>
      <c r="Z309" s="20"/>
      <c r="AA309" s="20"/>
      <c r="AB309" s="20"/>
      <c r="AC309" s="20"/>
      <c r="AD309" s="20"/>
      <c r="AE309" s="20"/>
      <c r="AF309" s="20"/>
      <c r="AG309" s="20"/>
      <c r="AH309" s="20"/>
      <c r="AI309" s="20"/>
      <c r="AJ309" s="33"/>
      <c r="AK309" s="34"/>
    </row>
    <row r="310" spans="1:37" s="504" customFormat="1" ht="127.5" customHeight="1" thickBot="1" x14ac:dyDescent="0.25">
      <c r="A310" s="1257" t="s">
        <v>1835</v>
      </c>
      <c r="B310" s="1180" t="s">
        <v>1078</v>
      </c>
      <c r="C310" s="1200" t="s">
        <v>2012</v>
      </c>
      <c r="D310" s="1138" t="s">
        <v>1071</v>
      </c>
      <c r="E310" s="746"/>
      <c r="F310" s="762"/>
      <c r="G310" s="1191">
        <v>9.0909090909090917</v>
      </c>
      <c r="H310" s="1185" t="s">
        <v>804</v>
      </c>
      <c r="I310" s="1386">
        <v>6</v>
      </c>
      <c r="J310" s="1116">
        <v>44256</v>
      </c>
      <c r="K310" s="1117">
        <v>44286</v>
      </c>
      <c r="L310" s="1139"/>
      <c r="M310" s="1139"/>
      <c r="N310" s="1139">
        <v>100</v>
      </c>
      <c r="O310" s="780"/>
      <c r="P310" s="756"/>
      <c r="Q310" s="756"/>
      <c r="R310" s="756"/>
      <c r="S310" s="1140"/>
      <c r="T310" s="756"/>
      <c r="U310" s="1140"/>
      <c r="V310" s="1140"/>
      <c r="W310" s="1141"/>
      <c r="X310" s="1214">
        <f t="shared" ref="X310:X331" si="59">+SUM(L310:W310)</f>
        <v>100</v>
      </c>
      <c r="Y310" s="663"/>
      <c r="Z310" s="20"/>
      <c r="AA310" s="20"/>
      <c r="AB310" s="20"/>
      <c r="AC310" s="20"/>
      <c r="AD310" s="20"/>
      <c r="AE310" s="20"/>
      <c r="AF310" s="20"/>
      <c r="AG310" s="20"/>
      <c r="AH310" s="20"/>
      <c r="AI310" s="20"/>
      <c r="AJ310" s="33"/>
      <c r="AK310" s="34"/>
    </row>
    <row r="311" spans="1:37" s="504" customFormat="1" ht="104.25" customHeight="1" thickBot="1" x14ac:dyDescent="0.25">
      <c r="A311" s="1271" t="str">
        <f>'FORM-2'!D17</f>
        <v>3.7.2.6</v>
      </c>
      <c r="B311" s="1114" t="str">
        <f>'FORM-2'!E17</f>
        <v xml:space="preserve">100 evaluaciones especializadas de las medidas de proteccion de cada niña, niño y adolescente internado en Centros de Acogida,para promover la restitucion al derecho a la familia y/o alternativas mediante Familia Sustituta.   </v>
      </c>
      <c r="C311" s="1115" t="str">
        <f>'FORM-2'!H17</f>
        <v xml:space="preserve">100 evaluaciones.efectuadas a la población beneficiaria.  </v>
      </c>
      <c r="D311" s="1113" t="s">
        <v>1079</v>
      </c>
      <c r="E311" s="1112"/>
      <c r="F311" s="769">
        <v>10</v>
      </c>
      <c r="G311" s="826">
        <f>SUM(G312:G318)</f>
        <v>100.00000000000001</v>
      </c>
      <c r="H311" s="900" t="s">
        <v>687</v>
      </c>
      <c r="I311" s="1351">
        <v>100</v>
      </c>
      <c r="J311" s="1348">
        <v>44200</v>
      </c>
      <c r="K311" s="1349">
        <v>44561</v>
      </c>
      <c r="L311" s="830">
        <f>+(L312*$G$312+L313*$G$313+L314*$G$314+L315*$G$315+L316*$G$316+L317*$G$317+L318*$G$318)/$G$311</f>
        <v>14.285714285714285</v>
      </c>
      <c r="M311" s="830">
        <f t="shared" ref="M311:W311" si="60">+(M312*$G$312+M313*$G$313+M314*$G$314+M315*$G$315+M316*$G$316+M317*$G$317+M318*$G$318)/$G$311</f>
        <v>2.7619047619047623</v>
      </c>
      <c r="N311" s="830">
        <f t="shared" si="60"/>
        <v>19.933621933621936</v>
      </c>
      <c r="O311" s="830">
        <f t="shared" si="60"/>
        <v>5.6479076479076493</v>
      </c>
      <c r="P311" s="830">
        <f t="shared" si="60"/>
        <v>5.6479076479076493</v>
      </c>
      <c r="Q311" s="830">
        <f t="shared" si="60"/>
        <v>5.6479076479076493</v>
      </c>
      <c r="R311" s="830">
        <f t="shared" si="60"/>
        <v>5.6479076479076493</v>
      </c>
      <c r="S311" s="830">
        <f t="shared" si="60"/>
        <v>19.647907647907651</v>
      </c>
      <c r="T311" s="830">
        <f t="shared" si="60"/>
        <v>5.2669552669552688</v>
      </c>
      <c r="U311" s="830">
        <f t="shared" si="60"/>
        <v>5.2669552669552688</v>
      </c>
      <c r="V311" s="830">
        <f t="shared" si="60"/>
        <v>5.2669552669552688</v>
      </c>
      <c r="W311" s="830">
        <f t="shared" si="60"/>
        <v>4.9783549783549814</v>
      </c>
      <c r="X311" s="1175">
        <f t="shared" si="59"/>
        <v>100.00000000000001</v>
      </c>
      <c r="Y311" s="663"/>
      <c r="Z311" s="20"/>
      <c r="AA311" s="20"/>
      <c r="AB311" s="20"/>
      <c r="AC311" s="20"/>
      <c r="AD311" s="20"/>
      <c r="AE311" s="20"/>
      <c r="AF311" s="20"/>
      <c r="AG311" s="20"/>
      <c r="AH311" s="20"/>
      <c r="AI311" s="20"/>
      <c r="AJ311" s="33"/>
      <c r="AK311" s="34"/>
    </row>
    <row r="312" spans="1:37" s="504" customFormat="1" ht="92.25" customHeight="1" x14ac:dyDescent="0.2">
      <c r="A312" s="1258" t="s">
        <v>1836</v>
      </c>
      <c r="B312" s="1192" t="s">
        <v>1389</v>
      </c>
      <c r="C312" s="1195" t="s">
        <v>1203</v>
      </c>
      <c r="D312" s="1197" t="s">
        <v>1194</v>
      </c>
      <c r="E312" s="703"/>
      <c r="F312" s="1126"/>
      <c r="G312" s="1142">
        <v>14.285714285714286</v>
      </c>
      <c r="H312" s="1143" t="s">
        <v>746</v>
      </c>
      <c r="I312" s="1352">
        <v>5</v>
      </c>
      <c r="J312" s="1345">
        <v>44200</v>
      </c>
      <c r="K312" s="1346">
        <v>44225</v>
      </c>
      <c r="L312" s="856">
        <v>100</v>
      </c>
      <c r="M312" s="1144"/>
      <c r="N312" s="1144"/>
      <c r="O312" s="1144"/>
      <c r="P312" s="1144"/>
      <c r="Q312" s="1144"/>
      <c r="R312" s="1144"/>
      <c r="S312" s="1144"/>
      <c r="T312" s="1144"/>
      <c r="U312" s="1144"/>
      <c r="V312" s="1144"/>
      <c r="W312" s="1145"/>
      <c r="X312" s="1174">
        <f t="shared" si="59"/>
        <v>100</v>
      </c>
      <c r="Y312" s="663"/>
      <c r="Z312" s="20"/>
      <c r="AA312" s="20"/>
      <c r="AB312" s="20"/>
      <c r="AC312" s="20"/>
      <c r="AD312" s="20"/>
      <c r="AE312" s="20"/>
      <c r="AF312" s="20"/>
      <c r="AG312" s="20"/>
      <c r="AH312" s="20"/>
      <c r="AI312" s="20"/>
      <c r="AJ312" s="33"/>
      <c r="AK312" s="34"/>
    </row>
    <row r="313" spans="1:37" s="504" customFormat="1" ht="102.75" customHeight="1" x14ac:dyDescent="0.2">
      <c r="A313" s="1259" t="s">
        <v>1837</v>
      </c>
      <c r="B313" s="1193" t="s">
        <v>1195</v>
      </c>
      <c r="C313" s="643" t="s">
        <v>1196</v>
      </c>
      <c r="D313" s="735" t="s">
        <v>1194</v>
      </c>
      <c r="E313" s="610"/>
      <c r="F313" s="505"/>
      <c r="G313" s="827">
        <v>14.285714285714286</v>
      </c>
      <c r="H313" s="662" t="s">
        <v>746</v>
      </c>
      <c r="I313" s="1353">
        <v>150</v>
      </c>
      <c r="J313" s="1340">
        <v>44228</v>
      </c>
      <c r="K313" s="1338">
        <v>44561</v>
      </c>
      <c r="L313" s="924"/>
      <c r="M313" s="749">
        <f>14*0.666666666666667</f>
        <v>9.3333333333333375</v>
      </c>
      <c r="N313" s="749">
        <f t="shared" ref="N313:S313" si="61">14*0.666666666666667</f>
        <v>9.3333333333333375</v>
      </c>
      <c r="O313" s="749">
        <f t="shared" si="61"/>
        <v>9.3333333333333375</v>
      </c>
      <c r="P313" s="749">
        <f t="shared" si="61"/>
        <v>9.3333333333333375</v>
      </c>
      <c r="Q313" s="749">
        <f t="shared" si="61"/>
        <v>9.3333333333333375</v>
      </c>
      <c r="R313" s="749">
        <f t="shared" si="61"/>
        <v>9.3333333333333375</v>
      </c>
      <c r="S313" s="749">
        <f t="shared" si="61"/>
        <v>9.3333333333333375</v>
      </c>
      <c r="T313" s="749">
        <f>13*0.666666666666667</f>
        <v>8.6666666666666714</v>
      </c>
      <c r="U313" s="749">
        <f>13*0.666666666666667</f>
        <v>8.6666666666666714</v>
      </c>
      <c r="V313" s="749">
        <f t="shared" ref="V313:W313" si="62">13*0.666666666666667</f>
        <v>8.6666666666666714</v>
      </c>
      <c r="W313" s="792">
        <f t="shared" si="62"/>
        <v>8.6666666666666714</v>
      </c>
      <c r="X313" s="888">
        <f t="shared" si="59"/>
        <v>100.00000000000004</v>
      </c>
      <c r="Y313" s="663"/>
      <c r="Z313" s="20"/>
      <c r="AA313" s="20"/>
      <c r="AB313" s="20"/>
      <c r="AC313" s="20"/>
      <c r="AD313" s="20"/>
      <c r="AE313" s="20"/>
      <c r="AF313" s="20"/>
      <c r="AG313" s="20"/>
      <c r="AH313" s="20"/>
      <c r="AI313" s="20"/>
      <c r="AJ313" s="33"/>
      <c r="AK313" s="34"/>
    </row>
    <row r="314" spans="1:37" s="504" customFormat="1" ht="129.75" customHeight="1" x14ac:dyDescent="0.2">
      <c r="A314" s="1259" t="s">
        <v>1838</v>
      </c>
      <c r="B314" s="1193" t="s">
        <v>1197</v>
      </c>
      <c r="C314" s="643" t="s">
        <v>1198</v>
      </c>
      <c r="D314" s="735" t="s">
        <v>1194</v>
      </c>
      <c r="E314" s="610"/>
      <c r="F314" s="505"/>
      <c r="G314" s="827">
        <v>14.285714285714286</v>
      </c>
      <c r="H314" s="662" t="s">
        <v>746</v>
      </c>
      <c r="I314" s="1353">
        <v>50</v>
      </c>
      <c r="J314" s="1340">
        <v>44228</v>
      </c>
      <c r="K314" s="1338">
        <v>44561</v>
      </c>
      <c r="L314" s="924"/>
      <c r="M314" s="749">
        <f>5*2</f>
        <v>10</v>
      </c>
      <c r="N314" s="749">
        <f t="shared" ref="N314:R314" si="63">5*2</f>
        <v>10</v>
      </c>
      <c r="O314" s="749">
        <f t="shared" si="63"/>
        <v>10</v>
      </c>
      <c r="P314" s="749">
        <f t="shared" si="63"/>
        <v>10</v>
      </c>
      <c r="Q314" s="749">
        <f t="shared" si="63"/>
        <v>10</v>
      </c>
      <c r="R314" s="749">
        <f t="shared" si="63"/>
        <v>10</v>
      </c>
      <c r="S314" s="749">
        <f>4*2</f>
        <v>8</v>
      </c>
      <c r="T314" s="749">
        <f>4*2</f>
        <v>8</v>
      </c>
      <c r="U314" s="749">
        <f>4*2</f>
        <v>8</v>
      </c>
      <c r="V314" s="749">
        <f>4*2</f>
        <v>8</v>
      </c>
      <c r="W314" s="792">
        <f>4*2</f>
        <v>8</v>
      </c>
      <c r="X314" s="888">
        <f t="shared" si="59"/>
        <v>100</v>
      </c>
      <c r="Y314" s="663"/>
      <c r="Z314" s="20"/>
      <c r="AA314" s="20"/>
      <c r="AB314" s="20"/>
      <c r="AC314" s="20"/>
      <c r="AD314" s="20"/>
      <c r="AE314" s="20"/>
      <c r="AF314" s="20"/>
      <c r="AG314" s="20"/>
      <c r="AH314" s="20"/>
      <c r="AI314" s="20"/>
      <c r="AJ314" s="33"/>
      <c r="AK314" s="34"/>
    </row>
    <row r="315" spans="1:37" s="504" customFormat="1" ht="73.5" customHeight="1" x14ac:dyDescent="0.2">
      <c r="A315" s="1259" t="s">
        <v>1839</v>
      </c>
      <c r="B315" s="1193" t="s">
        <v>1199</v>
      </c>
      <c r="C315" s="643" t="s">
        <v>1204</v>
      </c>
      <c r="D315" s="735" t="s">
        <v>1194</v>
      </c>
      <c r="E315" s="610"/>
      <c r="F315" s="505"/>
      <c r="G315" s="827">
        <v>14.285714285714286</v>
      </c>
      <c r="H315" s="662" t="s">
        <v>746</v>
      </c>
      <c r="I315" s="1353">
        <v>9</v>
      </c>
      <c r="J315" s="1340">
        <v>44256</v>
      </c>
      <c r="K315" s="1338">
        <v>44530</v>
      </c>
      <c r="L315" s="924"/>
      <c r="M315" s="749"/>
      <c r="N315" s="749">
        <v>11.111111111111111</v>
      </c>
      <c r="O315" s="749">
        <v>11.111111111111111</v>
      </c>
      <c r="P315" s="749">
        <v>11.111111111111111</v>
      </c>
      <c r="Q315" s="749">
        <v>11.111111111111111</v>
      </c>
      <c r="R315" s="749">
        <v>11.111111111111111</v>
      </c>
      <c r="S315" s="749">
        <v>11.111111111111111</v>
      </c>
      <c r="T315" s="749">
        <v>11.111111111111111</v>
      </c>
      <c r="U315" s="749">
        <v>11.111111111111111</v>
      </c>
      <c r="V315" s="749">
        <v>11.111111111111111</v>
      </c>
      <c r="W315" s="857"/>
      <c r="X315" s="888">
        <f t="shared" si="59"/>
        <v>100.00000000000001</v>
      </c>
      <c r="Y315" s="663"/>
      <c r="Z315" s="20"/>
      <c r="AA315" s="20"/>
      <c r="AB315" s="20"/>
      <c r="AC315" s="20"/>
      <c r="AD315" s="20"/>
      <c r="AE315" s="20"/>
      <c r="AF315" s="20"/>
      <c r="AG315" s="20"/>
      <c r="AH315" s="20"/>
      <c r="AI315" s="20"/>
      <c r="AJ315" s="33"/>
      <c r="AK315" s="34"/>
    </row>
    <row r="316" spans="1:37" s="504" customFormat="1" ht="74.25" customHeight="1" x14ac:dyDescent="0.2">
      <c r="A316" s="1259" t="s">
        <v>1840</v>
      </c>
      <c r="B316" s="1193" t="s">
        <v>1200</v>
      </c>
      <c r="C316" s="643" t="s">
        <v>1201</v>
      </c>
      <c r="D316" s="735" t="s">
        <v>1194</v>
      </c>
      <c r="E316" s="610"/>
      <c r="F316" s="505"/>
      <c r="G316" s="827">
        <v>14.285714285714286</v>
      </c>
      <c r="H316" s="662" t="s">
        <v>746</v>
      </c>
      <c r="I316" s="1353">
        <v>1</v>
      </c>
      <c r="J316" s="1340">
        <v>44410</v>
      </c>
      <c r="K316" s="1338">
        <v>44439</v>
      </c>
      <c r="L316" s="857"/>
      <c r="M316" s="749"/>
      <c r="N316" s="749"/>
      <c r="O316" s="749"/>
      <c r="P316" s="749"/>
      <c r="Q316" s="749"/>
      <c r="R316" s="749"/>
      <c r="S316" s="749">
        <v>100</v>
      </c>
      <c r="T316" s="749"/>
      <c r="U316" s="749"/>
      <c r="V316" s="749"/>
      <c r="W316" s="857"/>
      <c r="X316" s="888">
        <f t="shared" si="59"/>
        <v>100</v>
      </c>
      <c r="Y316" s="663"/>
      <c r="Z316" s="20"/>
      <c r="AA316" s="20"/>
      <c r="AB316" s="20"/>
      <c r="AC316" s="20"/>
      <c r="AD316" s="20"/>
      <c r="AE316" s="20"/>
      <c r="AF316" s="20"/>
      <c r="AG316" s="20"/>
      <c r="AH316" s="20"/>
      <c r="AI316" s="20"/>
      <c r="AJ316" s="33"/>
      <c r="AK316" s="34"/>
    </row>
    <row r="317" spans="1:37" s="504" customFormat="1" ht="78" customHeight="1" x14ac:dyDescent="0.2">
      <c r="A317" s="1259" t="s">
        <v>1841</v>
      </c>
      <c r="B317" s="1193" t="s">
        <v>2014</v>
      </c>
      <c r="C317" s="1196" t="s">
        <v>1202</v>
      </c>
      <c r="D317" s="735" t="s">
        <v>1194</v>
      </c>
      <c r="E317" s="610"/>
      <c r="F317" s="505"/>
      <c r="G317" s="827">
        <v>14.285714285714286</v>
      </c>
      <c r="H317" s="662" t="s">
        <v>746</v>
      </c>
      <c r="I317" s="1353">
        <v>22</v>
      </c>
      <c r="J317" s="1340">
        <v>44256</v>
      </c>
      <c r="K317" s="1338">
        <v>44561</v>
      </c>
      <c r="L317" s="857"/>
      <c r="M317" s="825"/>
      <c r="N317" s="749">
        <f>2*4.54545454545455</f>
        <v>9.0909090909091006</v>
      </c>
      <c r="O317" s="749">
        <f t="shared" ref="O317:V317" si="64">2*4.54545454545455</f>
        <v>9.0909090909091006</v>
      </c>
      <c r="P317" s="749">
        <f t="shared" si="64"/>
        <v>9.0909090909091006</v>
      </c>
      <c r="Q317" s="749">
        <f t="shared" si="64"/>
        <v>9.0909090909091006</v>
      </c>
      <c r="R317" s="749">
        <f t="shared" si="64"/>
        <v>9.0909090909091006</v>
      </c>
      <c r="S317" s="749">
        <f t="shared" si="64"/>
        <v>9.0909090909091006</v>
      </c>
      <c r="T317" s="749">
        <f t="shared" si="64"/>
        <v>9.0909090909091006</v>
      </c>
      <c r="U317" s="749">
        <f t="shared" si="64"/>
        <v>9.0909090909091006</v>
      </c>
      <c r="V317" s="749">
        <f t="shared" si="64"/>
        <v>9.0909090909091006</v>
      </c>
      <c r="W317" s="792">
        <f>4*4.54545454545455</f>
        <v>18.181818181818201</v>
      </c>
      <c r="X317" s="888">
        <f t="shared" si="59"/>
        <v>100.0000000000001</v>
      </c>
      <c r="Y317" s="663"/>
      <c r="Z317" s="20"/>
      <c r="AA317" s="20"/>
      <c r="AB317" s="20"/>
      <c r="AC317" s="20"/>
      <c r="AD317" s="20"/>
      <c r="AE317" s="20"/>
      <c r="AF317" s="20"/>
      <c r="AG317" s="20"/>
      <c r="AH317" s="20"/>
      <c r="AI317" s="20"/>
      <c r="AJ317" s="33"/>
      <c r="AK317" s="34"/>
    </row>
    <row r="318" spans="1:37" s="504" customFormat="1" ht="92.25" customHeight="1" thickBot="1" x14ac:dyDescent="0.25">
      <c r="A318" s="1260" t="s">
        <v>1842</v>
      </c>
      <c r="B318" s="1194" t="s">
        <v>2015</v>
      </c>
      <c r="C318" s="645" t="s">
        <v>1201</v>
      </c>
      <c r="D318" s="743" t="s">
        <v>1194</v>
      </c>
      <c r="E318" s="751"/>
      <c r="F318" s="766"/>
      <c r="G318" s="1146">
        <v>14.285714285714286</v>
      </c>
      <c r="H318" s="944" t="s">
        <v>746</v>
      </c>
      <c r="I318" s="1382">
        <v>1</v>
      </c>
      <c r="J318" s="1341">
        <v>44256</v>
      </c>
      <c r="K318" s="1342">
        <v>44286</v>
      </c>
      <c r="L318" s="858"/>
      <c r="M318" s="750"/>
      <c r="N318" s="1147">
        <v>100</v>
      </c>
      <c r="O318" s="1147"/>
      <c r="P318" s="750"/>
      <c r="Q318" s="750"/>
      <c r="R318" s="750"/>
      <c r="S318" s="750"/>
      <c r="T318" s="750"/>
      <c r="U318" s="750"/>
      <c r="V318" s="750"/>
      <c r="W318" s="858"/>
      <c r="X318" s="1214">
        <f t="shared" si="59"/>
        <v>100</v>
      </c>
      <c r="Y318" s="663"/>
      <c r="Z318" s="20"/>
      <c r="AA318" s="20"/>
      <c r="AB318" s="20"/>
      <c r="AC318" s="20"/>
      <c r="AD318" s="20"/>
      <c r="AE318" s="20"/>
      <c r="AF318" s="20"/>
      <c r="AG318" s="20"/>
      <c r="AH318" s="20"/>
      <c r="AI318" s="20"/>
      <c r="AJ318" s="33"/>
      <c r="AK318" s="34"/>
    </row>
    <row r="319" spans="1:37" s="504" customFormat="1" ht="115.5" customHeight="1" thickBot="1" x14ac:dyDescent="0.25">
      <c r="A319" s="1270" t="str">
        <f>'FORM-2'!D18</f>
        <v>3.7.4.1</v>
      </c>
      <c r="B319" s="1114" t="str">
        <f>'FORM-2'!E18</f>
        <v>100 beneficiados Adultos Mayores promedio mes/año  recibieron atencion integral a travez del Programa de Atencion a Adultos Mayores en el Centro Transitorio Interprovincial La Paz</v>
      </c>
      <c r="C319" s="1114" t="str">
        <f>'FORM-2'!H18</f>
        <v xml:space="preserve">100 adultos mayores beneficiados de la atención integral.  </v>
      </c>
      <c r="D319" s="1182" t="s">
        <v>1080</v>
      </c>
      <c r="E319" s="1112"/>
      <c r="F319" s="769">
        <v>10</v>
      </c>
      <c r="G319" s="826">
        <f>SUM(G320:G331)</f>
        <v>99.999999999999986</v>
      </c>
      <c r="H319" s="1118" t="s">
        <v>687</v>
      </c>
      <c r="I319" s="1387">
        <v>100</v>
      </c>
      <c r="J319" s="1348">
        <v>44200</v>
      </c>
      <c r="K319" s="1349">
        <v>44561</v>
      </c>
      <c r="L319" s="830">
        <f t="shared" ref="L319:W319" si="65">+(L320*$G$320+L321*$G$321+L322*$G$322+L323*$G$323+L324*$G$324+L325*$G$325+L326*$G$326+L327*$G$327+L328*$G$328+L329*$G$329+L330*$G$330++L331*$G$331)/$G$319</f>
        <v>8.3333333333333357</v>
      </c>
      <c r="M319" s="830">
        <f t="shared" si="65"/>
        <v>8.3333333333333357</v>
      </c>
      <c r="N319" s="830">
        <f t="shared" si="65"/>
        <v>5.8333333333333357</v>
      </c>
      <c r="O319" s="830">
        <f t="shared" si="65"/>
        <v>5.8333333333333357</v>
      </c>
      <c r="P319" s="830">
        <f t="shared" si="65"/>
        <v>5.8333333333333357</v>
      </c>
      <c r="Q319" s="830">
        <f t="shared" si="65"/>
        <v>5.8333333333333357</v>
      </c>
      <c r="R319" s="830">
        <f t="shared" si="65"/>
        <v>5.8333333333333357</v>
      </c>
      <c r="S319" s="830">
        <f t="shared" si="65"/>
        <v>20.416666666666664</v>
      </c>
      <c r="T319" s="830">
        <f t="shared" si="65"/>
        <v>7.9166666666666696</v>
      </c>
      <c r="U319" s="830">
        <f t="shared" si="65"/>
        <v>7.9166666666666696</v>
      </c>
      <c r="V319" s="830">
        <f t="shared" si="65"/>
        <v>12.083333333333334</v>
      </c>
      <c r="W319" s="830">
        <f t="shared" si="65"/>
        <v>5.8333333333333357</v>
      </c>
      <c r="X319" s="1175">
        <f t="shared" si="59"/>
        <v>100.00000000000003</v>
      </c>
      <c r="Y319" s="663"/>
      <c r="Z319" s="20"/>
      <c r="AA319" s="20"/>
      <c r="AB319" s="20"/>
      <c r="AC319" s="20"/>
      <c r="AD319" s="20"/>
      <c r="AE319" s="20"/>
      <c r="AF319" s="20"/>
      <c r="AG319" s="20"/>
      <c r="AH319" s="20"/>
      <c r="AI319" s="20"/>
      <c r="AJ319" s="33"/>
      <c r="AK319" s="34"/>
    </row>
    <row r="320" spans="1:37" s="504" customFormat="1" ht="81" customHeight="1" x14ac:dyDescent="0.2">
      <c r="A320" s="1257" t="s">
        <v>1843</v>
      </c>
      <c r="B320" s="1148" t="s">
        <v>1081</v>
      </c>
      <c r="C320" s="1198" t="s">
        <v>1082</v>
      </c>
      <c r="D320" s="1004" t="s">
        <v>1354</v>
      </c>
      <c r="E320" s="1149"/>
      <c r="F320" s="1201"/>
      <c r="G320" s="1205">
        <v>8.3333333333333339</v>
      </c>
      <c r="H320" s="899" t="s">
        <v>777</v>
      </c>
      <c r="I320" s="1388">
        <v>3</v>
      </c>
      <c r="J320" s="1016">
        <v>44200</v>
      </c>
      <c r="K320" s="1017">
        <v>44225</v>
      </c>
      <c r="L320" s="1150">
        <v>100</v>
      </c>
      <c r="M320" s="1151"/>
      <c r="N320" s="1152"/>
      <c r="O320" s="1152"/>
      <c r="P320" s="1152"/>
      <c r="Q320" s="1152"/>
      <c r="R320" s="1152"/>
      <c r="S320" s="1152"/>
      <c r="T320" s="1152"/>
      <c r="U320" s="1152"/>
      <c r="V320" s="1152"/>
      <c r="W320" s="1153"/>
      <c r="X320" s="1174">
        <f t="shared" si="59"/>
        <v>100</v>
      </c>
      <c r="Y320" s="663"/>
      <c r="Z320" s="20"/>
      <c r="AA320" s="20"/>
      <c r="AB320" s="20"/>
      <c r="AC320" s="20"/>
      <c r="AD320" s="20"/>
      <c r="AE320" s="20"/>
      <c r="AF320" s="20"/>
      <c r="AG320" s="20"/>
      <c r="AH320" s="20"/>
      <c r="AI320" s="20"/>
      <c r="AJ320" s="33"/>
      <c r="AK320" s="34"/>
    </row>
    <row r="321" spans="1:125" s="504" customFormat="1" ht="71.25" customHeight="1" x14ac:dyDescent="0.2">
      <c r="A321" s="1257" t="s">
        <v>1844</v>
      </c>
      <c r="B321" s="741" t="s">
        <v>1103</v>
      </c>
      <c r="C321" s="1094" t="s">
        <v>1083</v>
      </c>
      <c r="D321" s="653" t="s">
        <v>1354</v>
      </c>
      <c r="E321" s="610"/>
      <c r="F321" s="505"/>
      <c r="G321" s="1206">
        <v>8.3333333333333339</v>
      </c>
      <c r="H321" s="659" t="s">
        <v>777</v>
      </c>
      <c r="I321" s="1356">
        <v>20</v>
      </c>
      <c r="J321" s="783">
        <v>44256</v>
      </c>
      <c r="K321" s="934">
        <v>44560</v>
      </c>
      <c r="L321" s="755"/>
      <c r="M321" s="760"/>
      <c r="N321" s="777">
        <v>10</v>
      </c>
      <c r="O321" s="777">
        <v>10</v>
      </c>
      <c r="P321" s="777">
        <v>10</v>
      </c>
      <c r="Q321" s="777">
        <v>10</v>
      </c>
      <c r="R321" s="777">
        <v>10</v>
      </c>
      <c r="S321" s="777">
        <v>10</v>
      </c>
      <c r="T321" s="777">
        <v>10</v>
      </c>
      <c r="U321" s="777">
        <v>10</v>
      </c>
      <c r="V321" s="777">
        <v>10</v>
      </c>
      <c r="W321" s="882">
        <v>10</v>
      </c>
      <c r="X321" s="888">
        <f t="shared" si="59"/>
        <v>100</v>
      </c>
      <c r="Y321" s="663"/>
      <c r="Z321" s="20"/>
      <c r="AA321" s="20"/>
      <c r="AB321" s="20"/>
      <c r="AC321" s="20"/>
      <c r="AD321" s="20"/>
      <c r="AE321" s="20"/>
      <c r="AF321" s="20"/>
      <c r="AG321" s="20"/>
      <c r="AH321" s="20"/>
      <c r="AI321" s="20"/>
      <c r="AJ321" s="33"/>
      <c r="AK321" s="34"/>
    </row>
    <row r="322" spans="1:125" s="504" customFormat="1" ht="80.25" customHeight="1" x14ac:dyDescent="0.2">
      <c r="A322" s="1257" t="s">
        <v>1845</v>
      </c>
      <c r="B322" s="741" t="s">
        <v>1084</v>
      </c>
      <c r="C322" s="1094" t="s">
        <v>2016</v>
      </c>
      <c r="D322" s="653" t="s">
        <v>1354</v>
      </c>
      <c r="E322" s="610"/>
      <c r="F322" s="505"/>
      <c r="G322" s="1206">
        <v>8.3333333333333339</v>
      </c>
      <c r="H322" s="659" t="s">
        <v>1085</v>
      </c>
      <c r="I322" s="1356">
        <v>3</v>
      </c>
      <c r="J322" s="1350">
        <v>44228</v>
      </c>
      <c r="K322" s="1333">
        <v>44253</v>
      </c>
      <c r="L322" s="755"/>
      <c r="M322" s="760">
        <v>100</v>
      </c>
      <c r="N322" s="759"/>
      <c r="O322" s="759"/>
      <c r="P322" s="778"/>
      <c r="Q322" s="759"/>
      <c r="R322" s="759"/>
      <c r="S322" s="759"/>
      <c r="T322" s="759"/>
      <c r="U322" s="759"/>
      <c r="V322" s="759"/>
      <c r="W322" s="761"/>
      <c r="X322" s="888">
        <f t="shared" si="59"/>
        <v>100</v>
      </c>
      <c r="Y322" s="663"/>
      <c r="Z322" s="20"/>
      <c r="AA322" s="20"/>
      <c r="AB322" s="20"/>
      <c r="AC322" s="20"/>
      <c r="AD322" s="20"/>
      <c r="AE322" s="20"/>
      <c r="AF322" s="20"/>
      <c r="AG322" s="20"/>
      <c r="AH322" s="20"/>
      <c r="AI322" s="20"/>
      <c r="AJ322" s="33"/>
      <c r="AK322" s="34"/>
    </row>
    <row r="323" spans="1:125" s="504" customFormat="1" ht="78.75" customHeight="1" x14ac:dyDescent="0.2">
      <c r="A323" s="1257" t="s">
        <v>1846</v>
      </c>
      <c r="B323" s="741" t="s">
        <v>1105</v>
      </c>
      <c r="C323" s="1199" t="s">
        <v>1104</v>
      </c>
      <c r="D323" s="653" t="s">
        <v>1354</v>
      </c>
      <c r="E323" s="773"/>
      <c r="F323" s="1202"/>
      <c r="G323" s="1206">
        <v>8.3333333333333339</v>
      </c>
      <c r="H323" s="889" t="s">
        <v>1085</v>
      </c>
      <c r="I323" s="1389">
        <v>2</v>
      </c>
      <c r="J323" s="1350">
        <v>44410</v>
      </c>
      <c r="K323" s="1333">
        <v>44439</v>
      </c>
      <c r="L323" s="925"/>
      <c r="M323" s="859"/>
      <c r="N323" s="759"/>
      <c r="O323" s="759"/>
      <c r="P323" s="759"/>
      <c r="Q323" s="759"/>
      <c r="R323" s="759"/>
      <c r="S323" s="759">
        <v>100</v>
      </c>
      <c r="T323" s="759"/>
      <c r="U323" s="759"/>
      <c r="V323" s="759"/>
      <c r="W323" s="761"/>
      <c r="X323" s="888">
        <f t="shared" si="59"/>
        <v>100</v>
      </c>
      <c r="Y323" s="663"/>
      <c r="Z323" s="20"/>
      <c r="AA323" s="20"/>
      <c r="AB323" s="20"/>
      <c r="AC323" s="20"/>
      <c r="AD323" s="20"/>
      <c r="AE323" s="20"/>
      <c r="AF323" s="20"/>
      <c r="AG323" s="20"/>
      <c r="AH323" s="20"/>
      <c r="AI323" s="20"/>
      <c r="AJ323" s="33"/>
      <c r="AK323" s="34"/>
    </row>
    <row r="324" spans="1:125" s="504" customFormat="1" ht="76.5" customHeight="1" x14ac:dyDescent="0.2">
      <c r="A324" s="1257" t="s">
        <v>1847</v>
      </c>
      <c r="B324" s="741" t="s">
        <v>1086</v>
      </c>
      <c r="C324" s="1094" t="s">
        <v>1087</v>
      </c>
      <c r="D324" s="653" t="s">
        <v>1354</v>
      </c>
      <c r="E324" s="610"/>
      <c r="F324" s="505"/>
      <c r="G324" s="1206">
        <v>8.3333333333333339</v>
      </c>
      <c r="H324" s="659" t="s">
        <v>1088</v>
      </c>
      <c r="I324" s="1356">
        <v>500</v>
      </c>
      <c r="J324" s="783">
        <v>44256</v>
      </c>
      <c r="K324" s="934">
        <v>44561</v>
      </c>
      <c r="L324" s="755"/>
      <c r="M324" s="760"/>
      <c r="N324" s="759">
        <v>10</v>
      </c>
      <c r="O324" s="777">
        <v>10</v>
      </c>
      <c r="P324" s="777">
        <v>10</v>
      </c>
      <c r="Q324" s="777">
        <v>10</v>
      </c>
      <c r="R324" s="777">
        <v>10</v>
      </c>
      <c r="S324" s="777">
        <v>10</v>
      </c>
      <c r="T324" s="777">
        <v>10</v>
      </c>
      <c r="U324" s="777">
        <v>10</v>
      </c>
      <c r="V324" s="777">
        <v>10</v>
      </c>
      <c r="W324" s="882">
        <v>10</v>
      </c>
      <c r="X324" s="888">
        <f t="shared" si="59"/>
        <v>100</v>
      </c>
      <c r="Y324" s="663"/>
      <c r="Z324" s="20"/>
      <c r="AA324" s="20"/>
      <c r="AB324" s="20"/>
      <c r="AC324" s="20"/>
      <c r="AD324" s="20"/>
      <c r="AE324" s="20"/>
      <c r="AF324" s="20"/>
      <c r="AG324" s="20"/>
      <c r="AH324" s="20"/>
      <c r="AI324" s="20"/>
      <c r="AJ324" s="33"/>
      <c r="AK324" s="34"/>
    </row>
    <row r="325" spans="1:125" s="504" customFormat="1" ht="78" customHeight="1" x14ac:dyDescent="0.2">
      <c r="A325" s="1257" t="s">
        <v>1848</v>
      </c>
      <c r="B325" s="741" t="s">
        <v>1089</v>
      </c>
      <c r="C325" s="1094" t="s">
        <v>1090</v>
      </c>
      <c r="D325" s="653" t="s">
        <v>1354</v>
      </c>
      <c r="E325" s="774"/>
      <c r="F325" s="1203"/>
      <c r="G325" s="1206">
        <v>8.3333333333333339</v>
      </c>
      <c r="H325" s="659" t="s">
        <v>1091</v>
      </c>
      <c r="I325" s="1356">
        <v>2</v>
      </c>
      <c r="J325" s="783">
        <v>44410</v>
      </c>
      <c r="K325" s="934">
        <v>44530</v>
      </c>
      <c r="L325" s="755"/>
      <c r="M325" s="759"/>
      <c r="N325" s="759"/>
      <c r="O325" s="777"/>
      <c r="P325" s="777"/>
      <c r="Q325" s="777"/>
      <c r="R325" s="777"/>
      <c r="S325" s="777">
        <v>50</v>
      </c>
      <c r="T325" s="777"/>
      <c r="U325" s="777"/>
      <c r="V325" s="777">
        <v>50</v>
      </c>
      <c r="W325" s="882"/>
      <c r="X325" s="888">
        <f t="shared" si="59"/>
        <v>100</v>
      </c>
      <c r="Y325" s="663"/>
      <c r="Z325" s="20"/>
      <c r="AA325" s="20"/>
      <c r="AB325" s="20"/>
      <c r="AC325" s="20"/>
      <c r="AD325" s="20"/>
      <c r="AE325" s="20"/>
      <c r="AF325" s="20"/>
      <c r="AG325" s="20"/>
      <c r="AH325" s="20"/>
      <c r="AI325" s="20"/>
      <c r="AJ325" s="33"/>
      <c r="AK325" s="34"/>
    </row>
    <row r="326" spans="1:125" s="504" customFormat="1" ht="76.5" customHeight="1" x14ac:dyDescent="0.2">
      <c r="A326" s="1257" t="s">
        <v>1849</v>
      </c>
      <c r="B326" s="741" t="s">
        <v>1106</v>
      </c>
      <c r="C326" s="1094" t="s">
        <v>2017</v>
      </c>
      <c r="D326" s="653" t="s">
        <v>1354</v>
      </c>
      <c r="E326" s="747"/>
      <c r="F326" s="628"/>
      <c r="G326" s="1206">
        <v>8.3333333333333339</v>
      </c>
      <c r="H326" s="889" t="s">
        <v>1092</v>
      </c>
      <c r="I326" s="1356">
        <v>10</v>
      </c>
      <c r="J326" s="783">
        <v>44256</v>
      </c>
      <c r="K326" s="934">
        <v>44561</v>
      </c>
      <c r="L326" s="753"/>
      <c r="M326" s="760"/>
      <c r="N326" s="760">
        <v>10</v>
      </c>
      <c r="O326" s="779">
        <v>10</v>
      </c>
      <c r="P326" s="779">
        <v>10</v>
      </c>
      <c r="Q326" s="779">
        <v>10</v>
      </c>
      <c r="R326" s="779">
        <v>10</v>
      </c>
      <c r="S326" s="779">
        <v>10</v>
      </c>
      <c r="T326" s="779">
        <v>10</v>
      </c>
      <c r="U326" s="779">
        <v>10</v>
      </c>
      <c r="V326" s="779">
        <v>10</v>
      </c>
      <c r="W326" s="789">
        <v>10</v>
      </c>
      <c r="X326" s="888">
        <f t="shared" si="59"/>
        <v>100</v>
      </c>
      <c r="Y326" s="663"/>
      <c r="Z326" s="20"/>
      <c r="AA326" s="20"/>
      <c r="AB326" s="20"/>
      <c r="AC326" s="20"/>
      <c r="AD326" s="20"/>
      <c r="AE326" s="20"/>
      <c r="AF326" s="20"/>
      <c r="AG326" s="20"/>
      <c r="AH326" s="20"/>
      <c r="AI326" s="20"/>
      <c r="AJ326" s="33"/>
      <c r="AK326" s="34"/>
    </row>
    <row r="327" spans="1:125" s="504" customFormat="1" ht="82.5" customHeight="1" x14ac:dyDescent="0.2">
      <c r="A327" s="1257" t="s">
        <v>1850</v>
      </c>
      <c r="B327" s="741" t="s">
        <v>2019</v>
      </c>
      <c r="C327" s="1094" t="s">
        <v>1093</v>
      </c>
      <c r="D327" s="653" t="s">
        <v>1354</v>
      </c>
      <c r="E327" s="774"/>
      <c r="F327" s="1203"/>
      <c r="G327" s="1206">
        <v>8.3333333333333339</v>
      </c>
      <c r="H327" s="659" t="s">
        <v>1094</v>
      </c>
      <c r="I327" s="1356">
        <v>25</v>
      </c>
      <c r="J327" s="783">
        <v>44256</v>
      </c>
      <c r="K327" s="934">
        <v>44561</v>
      </c>
      <c r="L327" s="755"/>
      <c r="M327" s="760"/>
      <c r="N327" s="759">
        <v>10</v>
      </c>
      <c r="O327" s="777">
        <v>10</v>
      </c>
      <c r="P327" s="777">
        <v>10</v>
      </c>
      <c r="Q327" s="777">
        <v>10</v>
      </c>
      <c r="R327" s="777">
        <v>10</v>
      </c>
      <c r="S327" s="777">
        <v>10</v>
      </c>
      <c r="T327" s="777">
        <v>10</v>
      </c>
      <c r="U327" s="777">
        <v>10</v>
      </c>
      <c r="V327" s="777">
        <v>10</v>
      </c>
      <c r="W327" s="882">
        <v>10</v>
      </c>
      <c r="X327" s="888">
        <f t="shared" si="59"/>
        <v>100</v>
      </c>
      <c r="Y327" s="663"/>
      <c r="Z327" s="20"/>
      <c r="AA327" s="20"/>
      <c r="AB327" s="20"/>
      <c r="AC327" s="20"/>
      <c r="AD327" s="20"/>
      <c r="AE327" s="20"/>
      <c r="AF327" s="20"/>
      <c r="AG327" s="20"/>
      <c r="AH327" s="20"/>
      <c r="AI327" s="20"/>
      <c r="AJ327" s="33"/>
      <c r="AK327" s="34"/>
    </row>
    <row r="328" spans="1:125" s="504" customFormat="1" ht="75.75" customHeight="1" x14ac:dyDescent="0.2">
      <c r="A328" s="1257" t="s">
        <v>1851</v>
      </c>
      <c r="B328" s="741" t="s">
        <v>2018</v>
      </c>
      <c r="C328" s="1094" t="s">
        <v>1095</v>
      </c>
      <c r="D328" s="653" t="s">
        <v>1354</v>
      </c>
      <c r="E328" s="774"/>
      <c r="F328" s="1203"/>
      <c r="G328" s="1206">
        <v>8.3333333333333339</v>
      </c>
      <c r="H328" s="659" t="s">
        <v>1096</v>
      </c>
      <c r="I328" s="1356">
        <v>4</v>
      </c>
      <c r="J328" s="783">
        <v>44410</v>
      </c>
      <c r="K328" s="934">
        <v>44530</v>
      </c>
      <c r="L328" s="755"/>
      <c r="M328" s="760"/>
      <c r="N328" s="777"/>
      <c r="O328" s="777"/>
      <c r="P328" s="777"/>
      <c r="Q328" s="777"/>
      <c r="R328" s="777"/>
      <c r="S328" s="777">
        <v>25</v>
      </c>
      <c r="T328" s="777">
        <v>25</v>
      </c>
      <c r="U328" s="777">
        <v>25</v>
      </c>
      <c r="V328" s="777">
        <v>25</v>
      </c>
      <c r="W328" s="880"/>
      <c r="X328" s="888">
        <f t="shared" si="59"/>
        <v>100</v>
      </c>
      <c r="Y328" s="663"/>
      <c r="Z328" s="20"/>
      <c r="AA328" s="20"/>
      <c r="AB328" s="20"/>
      <c r="AC328" s="20"/>
      <c r="AD328" s="20"/>
      <c r="AE328" s="20"/>
      <c r="AF328" s="20"/>
      <c r="AG328" s="20"/>
      <c r="AH328" s="20"/>
      <c r="AI328" s="20"/>
      <c r="AJ328" s="33"/>
      <c r="AK328" s="34"/>
    </row>
    <row r="329" spans="1:125" s="504" customFormat="1" ht="78.75" customHeight="1" x14ac:dyDescent="0.2">
      <c r="A329" s="1257" t="s">
        <v>1852</v>
      </c>
      <c r="B329" s="741" t="s">
        <v>1097</v>
      </c>
      <c r="C329" s="1094" t="s">
        <v>1098</v>
      </c>
      <c r="D329" s="653" t="s">
        <v>1354</v>
      </c>
      <c r="E329" s="774"/>
      <c r="F329" s="1203"/>
      <c r="G329" s="1206">
        <v>8.3333333333333339</v>
      </c>
      <c r="H329" s="659" t="s">
        <v>1099</v>
      </c>
      <c r="I329" s="1356">
        <v>10</v>
      </c>
      <c r="J329" s="783">
        <v>44256</v>
      </c>
      <c r="K329" s="934">
        <v>44561</v>
      </c>
      <c r="L329" s="755"/>
      <c r="M329" s="760"/>
      <c r="N329" s="759">
        <v>10</v>
      </c>
      <c r="O329" s="777">
        <v>10</v>
      </c>
      <c r="P329" s="777">
        <v>10</v>
      </c>
      <c r="Q329" s="777">
        <v>10</v>
      </c>
      <c r="R329" s="777">
        <v>10</v>
      </c>
      <c r="S329" s="777">
        <v>10</v>
      </c>
      <c r="T329" s="777">
        <v>10</v>
      </c>
      <c r="U329" s="777">
        <v>10</v>
      </c>
      <c r="V329" s="777">
        <v>10</v>
      </c>
      <c r="W329" s="882">
        <v>10</v>
      </c>
      <c r="X329" s="888">
        <f t="shared" si="59"/>
        <v>100</v>
      </c>
      <c r="Y329" s="663"/>
      <c r="Z329" s="20"/>
      <c r="AA329" s="20"/>
      <c r="AB329" s="20"/>
      <c r="AC329" s="20"/>
      <c r="AD329" s="20"/>
      <c r="AE329" s="20"/>
      <c r="AF329" s="20"/>
      <c r="AG329" s="20"/>
      <c r="AH329" s="20"/>
      <c r="AI329" s="20"/>
      <c r="AJ329" s="33"/>
      <c r="AK329" s="34"/>
    </row>
    <row r="330" spans="1:125" s="504" customFormat="1" ht="92.25" customHeight="1" x14ac:dyDescent="0.2">
      <c r="A330" s="1257" t="s">
        <v>1853</v>
      </c>
      <c r="B330" s="772" t="s">
        <v>1100</v>
      </c>
      <c r="C330" s="1200" t="s">
        <v>1107</v>
      </c>
      <c r="D330" s="653" t="s">
        <v>1354</v>
      </c>
      <c r="E330" s="775"/>
      <c r="F330" s="1204"/>
      <c r="G330" s="1206">
        <v>8.3333333333333339</v>
      </c>
      <c r="H330" s="889" t="s">
        <v>1101</v>
      </c>
      <c r="I330" s="1356">
        <v>50</v>
      </c>
      <c r="J330" s="783">
        <v>44256</v>
      </c>
      <c r="K330" s="934">
        <v>44561</v>
      </c>
      <c r="L330" s="756"/>
      <c r="M330" s="780"/>
      <c r="N330" s="759">
        <v>10</v>
      </c>
      <c r="O330" s="777">
        <v>10</v>
      </c>
      <c r="P330" s="777">
        <v>10</v>
      </c>
      <c r="Q330" s="777">
        <v>10</v>
      </c>
      <c r="R330" s="777">
        <v>10</v>
      </c>
      <c r="S330" s="777">
        <v>10</v>
      </c>
      <c r="T330" s="777">
        <v>10</v>
      </c>
      <c r="U330" s="777">
        <v>10</v>
      </c>
      <c r="V330" s="777">
        <v>10</v>
      </c>
      <c r="W330" s="882">
        <v>10</v>
      </c>
      <c r="X330" s="888">
        <f t="shared" si="59"/>
        <v>100</v>
      </c>
      <c r="Y330" s="663"/>
      <c r="Z330" s="20"/>
      <c r="AA330" s="20"/>
      <c r="AB330" s="20"/>
      <c r="AC330" s="20"/>
      <c r="AD330" s="20"/>
      <c r="AE330" s="20"/>
      <c r="AF330" s="20"/>
      <c r="AG330" s="20"/>
      <c r="AH330" s="20"/>
      <c r="AI330" s="20"/>
      <c r="AJ330" s="33"/>
      <c r="AK330" s="34"/>
    </row>
    <row r="331" spans="1:125" s="504" customFormat="1" ht="92.25" customHeight="1" thickBot="1" x14ac:dyDescent="0.25">
      <c r="A331" s="1267" t="s">
        <v>1854</v>
      </c>
      <c r="B331" s="741" t="s">
        <v>1108</v>
      </c>
      <c r="C331" s="1094" t="s">
        <v>1102</v>
      </c>
      <c r="D331" s="653" t="s">
        <v>1354</v>
      </c>
      <c r="E331" s="773"/>
      <c r="F331" s="1202"/>
      <c r="G331" s="1206">
        <v>8.3333333333333339</v>
      </c>
      <c r="H331" s="889" t="s">
        <v>1099</v>
      </c>
      <c r="I331" s="1356">
        <v>200</v>
      </c>
      <c r="J331" s="783">
        <v>44256</v>
      </c>
      <c r="K331" s="934">
        <v>44561</v>
      </c>
      <c r="L331" s="755"/>
      <c r="M331" s="760"/>
      <c r="N331" s="759">
        <v>10</v>
      </c>
      <c r="O331" s="777">
        <v>10</v>
      </c>
      <c r="P331" s="777">
        <v>10</v>
      </c>
      <c r="Q331" s="777">
        <v>10</v>
      </c>
      <c r="R331" s="777">
        <v>10</v>
      </c>
      <c r="S331" s="777">
        <v>10</v>
      </c>
      <c r="T331" s="777">
        <v>10</v>
      </c>
      <c r="U331" s="777">
        <v>10</v>
      </c>
      <c r="V331" s="777">
        <v>10</v>
      </c>
      <c r="W331" s="882">
        <v>10</v>
      </c>
      <c r="X331" s="888">
        <f t="shared" si="59"/>
        <v>100</v>
      </c>
      <c r="Y331" s="663"/>
      <c r="Z331" s="20"/>
      <c r="AA331" s="20"/>
      <c r="AB331" s="20"/>
      <c r="AC331" s="20"/>
      <c r="AD331" s="20"/>
      <c r="AE331" s="20"/>
      <c r="AF331" s="20"/>
      <c r="AG331" s="20"/>
      <c r="AH331" s="20"/>
      <c r="AI331" s="20"/>
      <c r="AJ331" s="33"/>
      <c r="AK331" s="34"/>
    </row>
    <row r="332" spans="1:125" ht="14.25" thickTop="1" thickBot="1" x14ac:dyDescent="0.25">
      <c r="A332" s="1261" t="s">
        <v>8</v>
      </c>
      <c r="B332" s="1262" t="s">
        <v>9</v>
      </c>
      <c r="C332" s="1262"/>
      <c r="D332" s="1263"/>
      <c r="E332" s="1264"/>
      <c r="F332" s="1264"/>
      <c r="G332" s="1264"/>
      <c r="H332" s="1265"/>
      <c r="I332" s="901"/>
      <c r="J332" s="933"/>
      <c r="K332" s="933"/>
      <c r="L332" s="1266"/>
      <c r="M332" s="1266"/>
      <c r="N332" s="1266"/>
      <c r="O332" s="1266"/>
      <c r="P332" s="1266"/>
      <c r="Q332" s="1266"/>
      <c r="R332" s="1266"/>
      <c r="S332" s="1266"/>
      <c r="T332" s="1266"/>
      <c r="U332" s="1266"/>
      <c r="V332" s="1266"/>
      <c r="W332" s="1266"/>
      <c r="X332" s="887"/>
      <c r="Y332" s="36"/>
      <c r="Z332" s="36"/>
      <c r="AA332" s="36"/>
      <c r="AB332" s="36"/>
      <c r="AC332" s="36"/>
      <c r="AD332" s="36"/>
      <c r="AE332" s="36"/>
      <c r="AF332" s="36"/>
      <c r="AG332" s="36"/>
      <c r="AH332" s="36"/>
      <c r="AI332" s="36"/>
      <c r="AJ332" s="36"/>
      <c r="AK332" s="36"/>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c r="DN332" s="23"/>
      <c r="DO332" s="23"/>
      <c r="DP332" s="23"/>
      <c r="DQ332" s="23"/>
      <c r="DR332" s="23"/>
      <c r="DS332" s="23"/>
      <c r="DT332" s="23"/>
      <c r="DU332" s="23"/>
    </row>
    <row r="333" spans="1:125" s="37" customFormat="1" ht="13.5" thickBot="1" x14ac:dyDescent="0.25">
      <c r="A333" s="1595" t="s">
        <v>109</v>
      </c>
      <c r="B333" s="1596"/>
      <c r="C333" s="1600" t="s">
        <v>11</v>
      </c>
      <c r="D333" s="1601"/>
      <c r="E333" s="1602"/>
      <c r="F333" s="1595" t="s">
        <v>12</v>
      </c>
      <c r="G333" s="1601"/>
      <c r="H333" s="1601"/>
      <c r="I333" s="1601"/>
      <c r="J333" s="1601"/>
      <c r="K333" s="1601"/>
      <c r="L333" s="1601"/>
      <c r="M333" s="1601"/>
      <c r="N333" s="1601"/>
      <c r="O333" s="1602"/>
      <c r="P333" s="1595" t="s">
        <v>384</v>
      </c>
      <c r="Q333" s="1601"/>
      <c r="R333" s="1601"/>
      <c r="S333" s="1601"/>
      <c r="T333" s="1601"/>
      <c r="U333" s="1601"/>
      <c r="V333" s="1601"/>
      <c r="W333" s="1601"/>
      <c r="X333" s="1602"/>
    </row>
    <row r="334" spans="1:125" s="37" customFormat="1" ht="44.25" customHeight="1" x14ac:dyDescent="0.2">
      <c r="A334" s="1570" t="s">
        <v>14</v>
      </c>
      <c r="B334" s="1571"/>
      <c r="C334" s="1572" t="s">
        <v>1178</v>
      </c>
      <c r="D334" s="1573"/>
      <c r="E334" s="1574"/>
      <c r="F334" s="1575" t="s">
        <v>1179</v>
      </c>
      <c r="G334" s="1576"/>
      <c r="H334" s="1576"/>
      <c r="I334" s="1576"/>
      <c r="J334" s="1576"/>
      <c r="K334" s="1576"/>
      <c r="L334" s="1576"/>
      <c r="M334" s="1576"/>
      <c r="N334" s="1576"/>
      <c r="O334" s="1577"/>
      <c r="P334" s="1575"/>
      <c r="Q334" s="1576"/>
      <c r="R334" s="1576"/>
      <c r="S334" s="1576"/>
      <c r="T334" s="1576"/>
      <c r="U334" s="1576"/>
      <c r="V334" s="1576"/>
      <c r="W334" s="1576"/>
      <c r="X334" s="1577"/>
    </row>
    <row r="335" spans="1:125" s="37" customFormat="1" ht="44.25" customHeight="1" x14ac:dyDescent="0.2">
      <c r="A335" s="1561" t="s">
        <v>286</v>
      </c>
      <c r="B335" s="1562"/>
      <c r="C335" s="1563" t="s">
        <v>1180</v>
      </c>
      <c r="D335" s="1564"/>
      <c r="E335" s="1565"/>
      <c r="F335" s="1566" t="s">
        <v>1181</v>
      </c>
      <c r="G335" s="1567"/>
      <c r="H335" s="1567"/>
      <c r="I335" s="1567"/>
      <c r="J335" s="1567"/>
      <c r="K335" s="1567"/>
      <c r="L335" s="1567"/>
      <c r="M335" s="1567"/>
      <c r="N335" s="1567"/>
      <c r="O335" s="1568"/>
      <c r="P335" s="1566"/>
      <c r="Q335" s="1567"/>
      <c r="R335" s="1567"/>
      <c r="S335" s="1567"/>
      <c r="T335" s="1567"/>
      <c r="U335" s="1567"/>
      <c r="V335" s="1567"/>
      <c r="W335" s="1567"/>
      <c r="X335" s="1568"/>
    </row>
    <row r="336" spans="1:125" s="37" customFormat="1" ht="44.25" customHeight="1" thickBot="1" x14ac:dyDescent="0.25">
      <c r="A336" s="1553" t="s">
        <v>287</v>
      </c>
      <c r="B336" s="1554"/>
      <c r="C336" s="1555" t="s">
        <v>1570</v>
      </c>
      <c r="D336" s="1556"/>
      <c r="E336" s="1557"/>
      <c r="F336" s="1558" t="s">
        <v>1571</v>
      </c>
      <c r="G336" s="1559"/>
      <c r="H336" s="1559"/>
      <c r="I336" s="1559"/>
      <c r="J336" s="1559"/>
      <c r="K336" s="1559"/>
      <c r="L336" s="1559"/>
      <c r="M336" s="1559"/>
      <c r="N336" s="1559"/>
      <c r="O336" s="1560"/>
      <c r="P336" s="1558"/>
      <c r="Q336" s="1559"/>
      <c r="R336" s="1559"/>
      <c r="S336" s="1559"/>
      <c r="T336" s="1559"/>
      <c r="U336" s="1559"/>
      <c r="V336" s="1559"/>
      <c r="W336" s="1559"/>
      <c r="X336" s="1560"/>
    </row>
  </sheetData>
  <sheetProtection formatColumns="0" formatRows="0" insertRows="0"/>
  <mergeCells count="30">
    <mergeCell ref="Y4:AK4"/>
    <mergeCell ref="C333:E333"/>
    <mergeCell ref="F333:O333"/>
    <mergeCell ref="P333:X333"/>
    <mergeCell ref="L4:X4"/>
    <mergeCell ref="G4:G5"/>
    <mergeCell ref="A1:X1"/>
    <mergeCell ref="A334:B334"/>
    <mergeCell ref="C334:E334"/>
    <mergeCell ref="F334:O334"/>
    <mergeCell ref="P334:X334"/>
    <mergeCell ref="S2:X2"/>
    <mergeCell ref="A3:X3"/>
    <mergeCell ref="A4:A5"/>
    <mergeCell ref="B4:B5"/>
    <mergeCell ref="C4:C5"/>
    <mergeCell ref="D4:D5"/>
    <mergeCell ref="E4:E5"/>
    <mergeCell ref="F4:F5"/>
    <mergeCell ref="H4:I4"/>
    <mergeCell ref="J4:K4"/>
    <mergeCell ref="A333:B333"/>
    <mergeCell ref="A336:B336"/>
    <mergeCell ref="C336:E336"/>
    <mergeCell ref="F336:O336"/>
    <mergeCell ref="P336:X336"/>
    <mergeCell ref="A335:B335"/>
    <mergeCell ref="C335:E335"/>
    <mergeCell ref="F335:O335"/>
    <mergeCell ref="P335:X335"/>
  </mergeCells>
  <phoneticPr fontId="25" type="noConversion"/>
  <pageMargins left="0.51181102362204722" right="0.31496062992125984" top="0.82677165354330717" bottom="0.51181102362204722" header="0.51181102362204722" footer="0.27559055118110237"/>
  <pageSetup scale="55" orientation="landscape" r:id="rId1"/>
  <headerFooter alignWithMargins="0">
    <oddHeader>&amp;L&amp;"Arial Narrow,Negrita Cursiva"          Gobierno Autónomo Departamental de La Paz&amp;C&amp;"Arial,Negrita"&amp;12FORMULARIO Nº 3
DETERMINACIÓN DE ACTIVIDADES ARTICULADAS A LOS PRODUCTOS&amp;R&amp;"Arial,Negrita"Plan Operativo Anual 2021....</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W174"/>
  <sheetViews>
    <sheetView zoomScale="60" zoomScaleNormal="60" zoomScaleSheetLayoutView="83" zoomScalePageLayoutView="40" workbookViewId="0">
      <selection activeCell="J9" sqref="J9:J12"/>
    </sheetView>
  </sheetViews>
  <sheetFormatPr baseColWidth="10" defaultColWidth="15.42578125" defaultRowHeight="12.75" x14ac:dyDescent="0.2"/>
  <cols>
    <col min="1" max="1" width="3.5703125" style="506" customWidth="1"/>
    <col min="2" max="2" width="15.140625" style="509" customWidth="1"/>
    <col min="3" max="3" width="45.28515625" style="506" customWidth="1"/>
    <col min="4" max="4" width="9.140625" style="506" customWidth="1"/>
    <col min="5" max="5" width="13.28515625" style="506" customWidth="1"/>
    <col min="6" max="6" width="16.7109375" style="506" customWidth="1"/>
    <col min="7" max="7" width="13.28515625" style="506" customWidth="1"/>
    <col min="8" max="8" width="12.42578125" style="506" customWidth="1"/>
    <col min="9" max="9" width="17.85546875" style="506" customWidth="1"/>
    <col min="10" max="10" width="7.85546875" style="506" bestFit="1" customWidth="1"/>
    <col min="11" max="11" width="9.28515625" style="506" customWidth="1"/>
    <col min="12" max="12" width="8.140625" style="506" customWidth="1"/>
    <col min="13" max="13" width="9.140625" style="506" customWidth="1"/>
    <col min="14" max="14" width="11" style="515" customWidth="1"/>
    <col min="15" max="15" width="15" style="515" customWidth="1"/>
    <col min="16" max="16" width="13" style="515" customWidth="1"/>
    <col min="17" max="17" width="9.85546875" style="515" customWidth="1"/>
    <col min="18" max="18" width="13.85546875" style="515" customWidth="1"/>
    <col min="19" max="19" width="9.42578125" style="506" hidden="1" customWidth="1"/>
    <col min="20" max="20" width="8.7109375" style="506" hidden="1" customWidth="1"/>
    <col min="21" max="21" width="22.140625" style="506" customWidth="1"/>
    <col min="22" max="22" width="17.28515625" style="506" customWidth="1"/>
    <col min="23" max="232" width="15.42578125" style="506"/>
    <col min="233" max="233" width="10.7109375" style="506" customWidth="1"/>
    <col min="234" max="488" width="15.42578125" style="506"/>
    <col min="489" max="489" width="10.7109375" style="506" customWidth="1"/>
    <col min="490" max="744" width="15.42578125" style="506"/>
    <col min="745" max="745" width="10.7109375" style="506" customWidth="1"/>
    <col min="746" max="1000" width="15.42578125" style="506"/>
    <col min="1001" max="1001" width="10.7109375" style="506" customWidth="1"/>
    <col min="1002" max="1256" width="15.42578125" style="506"/>
    <col min="1257" max="1257" width="10.7109375" style="506" customWidth="1"/>
    <col min="1258" max="1512" width="15.42578125" style="506"/>
    <col min="1513" max="1513" width="10.7109375" style="506" customWidth="1"/>
    <col min="1514" max="1768" width="15.42578125" style="506"/>
    <col min="1769" max="1769" width="10.7109375" style="506" customWidth="1"/>
    <col min="1770" max="2024" width="15.42578125" style="506"/>
    <col min="2025" max="2025" width="10.7109375" style="506" customWidth="1"/>
    <col min="2026" max="2280" width="15.42578125" style="506"/>
    <col min="2281" max="2281" width="10.7109375" style="506" customWidth="1"/>
    <col min="2282" max="2536" width="15.42578125" style="506"/>
    <col min="2537" max="2537" width="10.7109375" style="506" customWidth="1"/>
    <col min="2538" max="2792" width="15.42578125" style="506"/>
    <col min="2793" max="2793" width="10.7109375" style="506" customWidth="1"/>
    <col min="2794" max="3048" width="15.42578125" style="506"/>
    <col min="3049" max="3049" width="10.7109375" style="506" customWidth="1"/>
    <col min="3050" max="3304" width="15.42578125" style="506"/>
    <col min="3305" max="3305" width="10.7109375" style="506" customWidth="1"/>
    <col min="3306" max="3560" width="15.42578125" style="506"/>
    <col min="3561" max="3561" width="10.7109375" style="506" customWidth="1"/>
    <col min="3562" max="3816" width="15.42578125" style="506"/>
    <col min="3817" max="3817" width="10.7109375" style="506" customWidth="1"/>
    <col min="3818" max="4072" width="15.42578125" style="506"/>
    <col min="4073" max="4073" width="10.7109375" style="506" customWidth="1"/>
    <col min="4074" max="4328" width="15.42578125" style="506"/>
    <col min="4329" max="4329" width="10.7109375" style="506" customWidth="1"/>
    <col min="4330" max="4584" width="15.42578125" style="506"/>
    <col min="4585" max="4585" width="10.7109375" style="506" customWidth="1"/>
    <col min="4586" max="4840" width="15.42578125" style="506"/>
    <col min="4841" max="4841" width="10.7109375" style="506" customWidth="1"/>
    <col min="4842" max="5096" width="15.42578125" style="506"/>
    <col min="5097" max="5097" width="10.7109375" style="506" customWidth="1"/>
    <col min="5098" max="5352" width="15.42578125" style="506"/>
    <col min="5353" max="5353" width="10.7109375" style="506" customWidth="1"/>
    <col min="5354" max="5608" width="15.42578125" style="506"/>
    <col min="5609" max="5609" width="10.7109375" style="506" customWidth="1"/>
    <col min="5610" max="5864" width="15.42578125" style="506"/>
    <col min="5865" max="5865" width="10.7109375" style="506" customWidth="1"/>
    <col min="5866" max="6120" width="15.42578125" style="506"/>
    <col min="6121" max="6121" width="10.7109375" style="506" customWidth="1"/>
    <col min="6122" max="6376" width="15.42578125" style="506"/>
    <col min="6377" max="6377" width="10.7109375" style="506" customWidth="1"/>
    <col min="6378" max="6632" width="15.42578125" style="506"/>
    <col min="6633" max="6633" width="10.7109375" style="506" customWidth="1"/>
    <col min="6634" max="6888" width="15.42578125" style="506"/>
    <col min="6889" max="6889" width="10.7109375" style="506" customWidth="1"/>
    <col min="6890" max="7144" width="15.42578125" style="506"/>
    <col min="7145" max="7145" width="10.7109375" style="506" customWidth="1"/>
    <col min="7146" max="7400" width="15.42578125" style="506"/>
    <col min="7401" max="7401" width="10.7109375" style="506" customWidth="1"/>
    <col min="7402" max="7656" width="15.42578125" style="506"/>
    <col min="7657" max="7657" width="10.7109375" style="506" customWidth="1"/>
    <col min="7658" max="7912" width="15.42578125" style="506"/>
    <col min="7913" max="7913" width="10.7109375" style="506" customWidth="1"/>
    <col min="7914" max="8168" width="15.42578125" style="506"/>
    <col min="8169" max="8169" width="10.7109375" style="506" customWidth="1"/>
    <col min="8170" max="8424" width="15.42578125" style="506"/>
    <col min="8425" max="8425" width="10.7109375" style="506" customWidth="1"/>
    <col min="8426" max="8680" width="15.42578125" style="506"/>
    <col min="8681" max="8681" width="10.7109375" style="506" customWidth="1"/>
    <col min="8682" max="8936" width="15.42578125" style="506"/>
    <col min="8937" max="8937" width="10.7109375" style="506" customWidth="1"/>
    <col min="8938" max="9192" width="15.42578125" style="506"/>
    <col min="9193" max="9193" width="10.7109375" style="506" customWidth="1"/>
    <col min="9194" max="9448" width="15.42578125" style="506"/>
    <col min="9449" max="9449" width="10.7109375" style="506" customWidth="1"/>
    <col min="9450" max="9704" width="15.42578125" style="506"/>
    <col min="9705" max="9705" width="10.7109375" style="506" customWidth="1"/>
    <col min="9706" max="9960" width="15.42578125" style="506"/>
    <col min="9961" max="9961" width="10.7109375" style="506" customWidth="1"/>
    <col min="9962" max="10216" width="15.42578125" style="506"/>
    <col min="10217" max="10217" width="10.7109375" style="506" customWidth="1"/>
    <col min="10218" max="10472" width="15.42578125" style="506"/>
    <col min="10473" max="10473" width="10.7109375" style="506" customWidth="1"/>
    <col min="10474" max="10728" width="15.42578125" style="506"/>
    <col min="10729" max="10729" width="10.7109375" style="506" customWidth="1"/>
    <col min="10730" max="10984" width="15.42578125" style="506"/>
    <col min="10985" max="10985" width="10.7109375" style="506" customWidth="1"/>
    <col min="10986" max="11240" width="15.42578125" style="506"/>
    <col min="11241" max="11241" width="10.7109375" style="506" customWidth="1"/>
    <col min="11242" max="11496" width="15.42578125" style="506"/>
    <col min="11497" max="11497" width="10.7109375" style="506" customWidth="1"/>
    <col min="11498" max="11752" width="15.42578125" style="506"/>
    <col min="11753" max="11753" width="10.7109375" style="506" customWidth="1"/>
    <col min="11754" max="12008" width="15.42578125" style="506"/>
    <col min="12009" max="12009" width="10.7109375" style="506" customWidth="1"/>
    <col min="12010" max="12264" width="15.42578125" style="506"/>
    <col min="12265" max="12265" width="10.7109375" style="506" customWidth="1"/>
    <col min="12266" max="12520" width="15.42578125" style="506"/>
    <col min="12521" max="12521" width="10.7109375" style="506" customWidth="1"/>
    <col min="12522" max="12776" width="15.42578125" style="506"/>
    <col min="12777" max="12777" width="10.7109375" style="506" customWidth="1"/>
    <col min="12778" max="13032" width="15.42578125" style="506"/>
    <col min="13033" max="13033" width="10.7109375" style="506" customWidth="1"/>
    <col min="13034" max="13288" width="15.42578125" style="506"/>
    <col min="13289" max="13289" width="10.7109375" style="506" customWidth="1"/>
    <col min="13290" max="13544" width="15.42578125" style="506"/>
    <col min="13545" max="13545" width="10.7109375" style="506" customWidth="1"/>
    <col min="13546" max="13800" width="15.42578125" style="506"/>
    <col min="13801" max="13801" width="10.7109375" style="506" customWidth="1"/>
    <col min="13802" max="14056" width="15.42578125" style="506"/>
    <col min="14057" max="14057" width="10.7109375" style="506" customWidth="1"/>
    <col min="14058" max="14312" width="15.42578125" style="506"/>
    <col min="14313" max="14313" width="10.7109375" style="506" customWidth="1"/>
    <col min="14314" max="14568" width="15.42578125" style="506"/>
    <col min="14569" max="14569" width="10.7109375" style="506" customWidth="1"/>
    <col min="14570" max="14824" width="15.42578125" style="506"/>
    <col min="14825" max="14825" width="10.7109375" style="506" customWidth="1"/>
    <col min="14826" max="15080" width="15.42578125" style="506"/>
    <col min="15081" max="15081" width="10.7109375" style="506" customWidth="1"/>
    <col min="15082" max="15336" width="15.42578125" style="506"/>
    <col min="15337" max="15337" width="10.7109375" style="506" customWidth="1"/>
    <col min="15338" max="15592" width="15.42578125" style="506"/>
    <col min="15593" max="15593" width="10.7109375" style="506" customWidth="1"/>
    <col min="15594" max="15848" width="15.42578125" style="506"/>
    <col min="15849" max="15849" width="10.7109375" style="506" customWidth="1"/>
    <col min="15850" max="16104" width="15.42578125" style="506"/>
    <col min="16105" max="16105" width="10.7109375" style="506" customWidth="1"/>
    <col min="16106" max="16384" width="15.42578125" style="506"/>
  </cols>
  <sheetData>
    <row r="1" spans="1:23" ht="19.5" customHeight="1" x14ac:dyDescent="0.2">
      <c r="A1" s="1685" t="str">
        <f>'FORM-1'!A1:D1</f>
        <v>SECRETARÍA O SERVICIO DEPARTAMENTAL DE GESTION SOCIAL</v>
      </c>
      <c r="B1" s="1685"/>
      <c r="C1" s="1685"/>
      <c r="D1" s="1685"/>
      <c r="E1" s="1685"/>
      <c r="F1" s="1685"/>
      <c r="G1" s="1685"/>
      <c r="H1" s="1685"/>
      <c r="I1" s="1685"/>
      <c r="J1" s="1685"/>
      <c r="K1" s="1685"/>
      <c r="L1" s="1685"/>
      <c r="M1" s="1685"/>
      <c r="N1" s="1685"/>
      <c r="O1" s="1685"/>
      <c r="P1" s="1685"/>
      <c r="Q1" s="1685"/>
      <c r="R1" s="1685"/>
      <c r="S1" s="1685"/>
      <c r="T1" s="1685"/>
      <c r="U1" s="1685"/>
      <c r="V1" s="1685"/>
    </row>
    <row r="2" spans="1:23" ht="18.75" thickBot="1" x14ac:dyDescent="0.25">
      <c r="A2" s="518"/>
      <c r="B2" s="518"/>
      <c r="C2" s="518"/>
      <c r="D2" s="518"/>
      <c r="E2" s="518"/>
      <c r="F2" s="518"/>
      <c r="G2" s="518"/>
      <c r="H2" s="518"/>
      <c r="I2" s="518"/>
      <c r="J2" s="518"/>
      <c r="K2" s="518"/>
      <c r="L2" s="518"/>
      <c r="M2" s="518"/>
      <c r="N2" s="518"/>
      <c r="O2" s="518"/>
      <c r="P2" s="518"/>
      <c r="Q2" s="518"/>
      <c r="R2" s="518"/>
      <c r="S2" s="518"/>
      <c r="T2" s="518"/>
      <c r="U2" s="518"/>
      <c r="V2" s="519" t="str">
        <f>'FORM-1'!D2</f>
        <v>Fecha: 05/08/2020</v>
      </c>
    </row>
    <row r="3" spans="1:23" ht="19.5" customHeight="1" thickBot="1" x14ac:dyDescent="0.25">
      <c r="A3" s="1686" t="s">
        <v>303</v>
      </c>
      <c r="B3" s="1687"/>
      <c r="C3" s="1687"/>
      <c r="D3" s="1687"/>
      <c r="E3" s="1687"/>
      <c r="F3" s="1687"/>
      <c r="G3" s="1687"/>
      <c r="H3" s="1687"/>
      <c r="I3" s="1687"/>
      <c r="J3" s="1687"/>
      <c r="K3" s="1687"/>
      <c r="L3" s="1687"/>
      <c r="M3" s="1687"/>
      <c r="N3" s="1687"/>
      <c r="O3" s="1687"/>
      <c r="P3" s="1687"/>
      <c r="Q3" s="1687"/>
      <c r="R3" s="1687"/>
      <c r="S3" s="1687"/>
      <c r="T3" s="1687"/>
      <c r="U3" s="1687"/>
      <c r="V3" s="1688"/>
    </row>
    <row r="4" spans="1:23" ht="32.25" customHeight="1" x14ac:dyDescent="0.2">
      <c r="A4" s="1694" t="s">
        <v>387</v>
      </c>
      <c r="B4" s="1672" t="s">
        <v>92</v>
      </c>
      <c r="C4" s="1672" t="s">
        <v>388</v>
      </c>
      <c r="D4" s="1672" t="s">
        <v>389</v>
      </c>
      <c r="E4" s="1672" t="s">
        <v>393</v>
      </c>
      <c r="F4" s="1672" t="s">
        <v>400</v>
      </c>
      <c r="G4" s="1672" t="s">
        <v>406</v>
      </c>
      <c r="H4" s="1672" t="s">
        <v>407</v>
      </c>
      <c r="I4" s="1672" t="s">
        <v>390</v>
      </c>
      <c r="J4" s="1672"/>
      <c r="K4" s="1672"/>
      <c r="L4" s="1672" t="s">
        <v>401</v>
      </c>
      <c r="M4" s="1672"/>
      <c r="N4" s="1672" t="s">
        <v>398</v>
      </c>
      <c r="O4" s="1672"/>
      <c r="P4" s="1672"/>
      <c r="Q4" s="1672"/>
      <c r="R4" s="1672"/>
      <c r="S4" s="1672" t="s">
        <v>399</v>
      </c>
      <c r="T4" s="1672"/>
      <c r="U4" s="1672" t="s">
        <v>402</v>
      </c>
      <c r="V4" s="1689" t="s">
        <v>403</v>
      </c>
    </row>
    <row r="5" spans="1:23" ht="18" customHeight="1" x14ac:dyDescent="0.2">
      <c r="A5" s="1695"/>
      <c r="B5" s="1673"/>
      <c r="C5" s="1673"/>
      <c r="D5" s="1673"/>
      <c r="E5" s="1673"/>
      <c r="F5" s="1673"/>
      <c r="G5" s="1673"/>
      <c r="H5" s="1673"/>
      <c r="I5" s="1675" t="s">
        <v>394</v>
      </c>
      <c r="J5" s="1673" t="s">
        <v>395</v>
      </c>
      <c r="K5" s="1673" t="s">
        <v>473</v>
      </c>
      <c r="L5" s="1673" t="s">
        <v>397</v>
      </c>
      <c r="M5" s="1673" t="s">
        <v>474</v>
      </c>
      <c r="N5" s="1673" t="s">
        <v>396</v>
      </c>
      <c r="O5" s="1673" t="s">
        <v>475</v>
      </c>
      <c r="P5" s="1673" t="s">
        <v>476</v>
      </c>
      <c r="Q5" s="1673"/>
      <c r="R5" s="1673"/>
      <c r="S5" s="1419"/>
      <c r="T5" s="1419"/>
      <c r="U5" s="1673"/>
      <c r="V5" s="1690"/>
    </row>
    <row r="6" spans="1:23" ht="59.25" customHeight="1" thickBot="1" x14ac:dyDescent="0.25">
      <c r="A6" s="1696"/>
      <c r="B6" s="1674"/>
      <c r="C6" s="1674"/>
      <c r="D6" s="1674"/>
      <c r="E6" s="1674"/>
      <c r="F6" s="1674"/>
      <c r="G6" s="1674"/>
      <c r="H6" s="1674"/>
      <c r="I6" s="1676"/>
      <c r="J6" s="1674"/>
      <c r="K6" s="1674"/>
      <c r="L6" s="1674"/>
      <c r="M6" s="1674"/>
      <c r="N6" s="1674"/>
      <c r="O6" s="1674"/>
      <c r="P6" s="1420" t="s">
        <v>404</v>
      </c>
      <c r="Q6" s="1420" t="s">
        <v>405</v>
      </c>
      <c r="R6" s="1420" t="s">
        <v>285</v>
      </c>
      <c r="S6" s="1420" t="s">
        <v>391</v>
      </c>
      <c r="T6" s="1420" t="s">
        <v>392</v>
      </c>
      <c r="U6" s="1693"/>
      <c r="V6" s="1691"/>
    </row>
    <row r="7" spans="1:23" s="507" customFormat="1" ht="40.5" customHeight="1" x14ac:dyDescent="0.2">
      <c r="A7" s="1633">
        <v>1</v>
      </c>
      <c r="B7" s="1623">
        <v>902001070000</v>
      </c>
      <c r="C7" s="1625" t="s">
        <v>1182</v>
      </c>
      <c r="D7" s="1627" t="s">
        <v>1183</v>
      </c>
      <c r="E7" s="1627" t="s">
        <v>1184</v>
      </c>
      <c r="F7" s="1628">
        <v>23529187.02</v>
      </c>
      <c r="G7" s="1610" t="s">
        <v>1185</v>
      </c>
      <c r="H7" s="1610" t="s">
        <v>1186</v>
      </c>
      <c r="I7" s="1612" t="s">
        <v>1187</v>
      </c>
      <c r="J7" s="1613">
        <v>1</v>
      </c>
      <c r="K7" s="1613">
        <v>1</v>
      </c>
      <c r="L7" s="1677">
        <v>0</v>
      </c>
      <c r="M7" s="1677">
        <v>0.35</v>
      </c>
      <c r="N7" s="1679"/>
      <c r="O7" s="1681">
        <v>8235215.4570000004</v>
      </c>
      <c r="P7" s="1683">
        <v>8235215.4570000004</v>
      </c>
      <c r="Q7" s="1697"/>
      <c r="R7" s="1683">
        <f>+P7</f>
        <v>8235215.4570000004</v>
      </c>
      <c r="S7" s="1423">
        <v>0.89</v>
      </c>
      <c r="T7" s="1423">
        <v>0.6</v>
      </c>
      <c r="U7" s="1699" t="s">
        <v>1188</v>
      </c>
      <c r="V7" s="1701"/>
    </row>
    <row r="8" spans="1:23" s="507" customFormat="1" ht="40.5" customHeight="1" x14ac:dyDescent="0.2">
      <c r="A8" s="1634"/>
      <c r="B8" s="1624"/>
      <c r="C8" s="1626"/>
      <c r="D8" s="1621"/>
      <c r="E8" s="1621"/>
      <c r="F8" s="1629"/>
      <c r="G8" s="1611"/>
      <c r="H8" s="1611"/>
      <c r="I8" s="1606"/>
      <c r="J8" s="1614"/>
      <c r="K8" s="1614"/>
      <c r="L8" s="1678"/>
      <c r="M8" s="1678"/>
      <c r="N8" s="1680"/>
      <c r="O8" s="1682"/>
      <c r="P8" s="1684"/>
      <c r="Q8" s="1698"/>
      <c r="R8" s="1684"/>
      <c r="S8" s="1421"/>
      <c r="T8" s="1421"/>
      <c r="U8" s="1700"/>
      <c r="V8" s="1702"/>
      <c r="W8" s="529"/>
    </row>
    <row r="9" spans="1:23" s="507" customFormat="1" ht="40.5" hidden="1" customHeight="1" x14ac:dyDescent="0.2">
      <c r="A9" s="1634"/>
      <c r="B9" s="1617" t="s">
        <v>1189</v>
      </c>
      <c r="C9" s="1619" t="s">
        <v>1190</v>
      </c>
      <c r="D9" s="1621" t="s">
        <v>1191</v>
      </c>
      <c r="E9" s="1621" t="s">
        <v>1184</v>
      </c>
      <c r="F9" s="1629">
        <v>420000</v>
      </c>
      <c r="G9" s="1615" t="s">
        <v>1185</v>
      </c>
      <c r="H9" s="1615" t="s">
        <v>1186</v>
      </c>
      <c r="I9" s="1606" t="s">
        <v>1192</v>
      </c>
      <c r="J9" s="1608">
        <v>1</v>
      </c>
      <c r="K9" s="1608">
        <v>1</v>
      </c>
      <c r="L9" s="1678">
        <v>0</v>
      </c>
      <c r="M9" s="1678">
        <v>1</v>
      </c>
      <c r="N9" s="1704">
        <v>0</v>
      </c>
      <c r="O9" s="1682">
        <v>420000</v>
      </c>
      <c r="P9" s="1710">
        <v>420000</v>
      </c>
      <c r="Q9" s="1712"/>
      <c r="R9" s="1710">
        <f>P9+Q9</f>
        <v>420000</v>
      </c>
      <c r="S9" s="1421"/>
      <c r="T9" s="1421"/>
      <c r="U9" s="1707"/>
      <c r="V9" s="1702"/>
      <c r="W9" s="530"/>
    </row>
    <row r="10" spans="1:23" s="507" customFormat="1" ht="40.5" hidden="1" customHeight="1" x14ac:dyDescent="0.2">
      <c r="A10" s="1634"/>
      <c r="B10" s="1617"/>
      <c r="C10" s="1619"/>
      <c r="D10" s="1621"/>
      <c r="E10" s="1621"/>
      <c r="F10" s="1629"/>
      <c r="G10" s="1615"/>
      <c r="H10" s="1615"/>
      <c r="I10" s="1606"/>
      <c r="J10" s="1608"/>
      <c r="K10" s="1608"/>
      <c r="L10" s="1678"/>
      <c r="M10" s="1678"/>
      <c r="N10" s="1704"/>
      <c r="O10" s="1682"/>
      <c r="P10" s="1710"/>
      <c r="Q10" s="1712"/>
      <c r="R10" s="1710"/>
      <c r="S10" s="1421"/>
      <c r="T10" s="1421"/>
      <c r="U10" s="1707"/>
      <c r="V10" s="1702"/>
    </row>
    <row r="11" spans="1:23" s="507" customFormat="1" ht="40.5" customHeight="1" x14ac:dyDescent="0.2">
      <c r="A11" s="1634">
        <v>2</v>
      </c>
      <c r="B11" s="1617"/>
      <c r="C11" s="1619"/>
      <c r="D11" s="1621"/>
      <c r="E11" s="1621"/>
      <c r="F11" s="1629"/>
      <c r="G11" s="1615"/>
      <c r="H11" s="1615"/>
      <c r="I11" s="1606"/>
      <c r="J11" s="1608"/>
      <c r="K11" s="1608"/>
      <c r="L11" s="1678"/>
      <c r="M11" s="1678"/>
      <c r="N11" s="1704"/>
      <c r="O11" s="1682"/>
      <c r="P11" s="1710"/>
      <c r="Q11" s="1712"/>
      <c r="R11" s="1710"/>
      <c r="S11" s="1421"/>
      <c r="T11" s="1421"/>
      <c r="U11" s="1707"/>
      <c r="V11" s="1702"/>
      <c r="W11" s="530"/>
    </row>
    <row r="12" spans="1:23" s="507" customFormat="1" ht="40.5" customHeight="1" thickBot="1" x14ac:dyDescent="0.25">
      <c r="A12" s="1692"/>
      <c r="B12" s="1618"/>
      <c r="C12" s="1620"/>
      <c r="D12" s="1622"/>
      <c r="E12" s="1622"/>
      <c r="F12" s="1630"/>
      <c r="G12" s="1616"/>
      <c r="H12" s="1616"/>
      <c r="I12" s="1607"/>
      <c r="J12" s="1609"/>
      <c r="K12" s="1609"/>
      <c r="L12" s="1703"/>
      <c r="M12" s="1703"/>
      <c r="N12" s="1705"/>
      <c r="O12" s="1706"/>
      <c r="P12" s="1711"/>
      <c r="Q12" s="1713"/>
      <c r="R12" s="1711"/>
      <c r="S12" s="1422"/>
      <c r="T12" s="1422"/>
      <c r="U12" s="1708"/>
      <c r="V12" s="1709"/>
    </row>
    <row r="13" spans="1:23" s="507" customFormat="1" ht="15" customHeight="1" thickBot="1" x14ac:dyDescent="0.25">
      <c r="A13" s="506"/>
      <c r="B13" s="509"/>
      <c r="C13" s="512"/>
      <c r="D13" s="512"/>
      <c r="E13" s="512"/>
      <c r="F13" s="512"/>
      <c r="G13" s="512"/>
      <c r="H13" s="512"/>
      <c r="I13" s="517"/>
      <c r="J13" s="512"/>
      <c r="K13" s="512"/>
      <c r="L13" s="512"/>
      <c r="M13" s="512"/>
      <c r="N13" s="513"/>
      <c r="O13" s="513"/>
      <c r="P13" s="513"/>
      <c r="Q13" s="513"/>
      <c r="R13" s="1006">
        <f>SUM(R7:T12)</f>
        <v>8655216.9470000006</v>
      </c>
      <c r="S13" s="520"/>
      <c r="T13" s="521"/>
      <c r="U13" s="510"/>
      <c r="V13" s="510"/>
    </row>
    <row r="14" spans="1:23" s="508" customFormat="1" ht="19.5" customHeight="1" thickBot="1" x14ac:dyDescent="0.25">
      <c r="A14" s="1667" t="s">
        <v>91</v>
      </c>
      <c r="B14" s="1668"/>
      <c r="C14" s="1668"/>
      <c r="D14" s="1669"/>
      <c r="E14" s="1635" t="s">
        <v>11</v>
      </c>
      <c r="F14" s="1636"/>
      <c r="G14" s="1636"/>
      <c r="H14" s="1636"/>
      <c r="I14" s="1637"/>
      <c r="J14" s="1635" t="s">
        <v>12</v>
      </c>
      <c r="K14" s="1636"/>
      <c r="L14" s="1636"/>
      <c r="M14" s="1636"/>
      <c r="N14" s="1636"/>
      <c r="O14" s="1636"/>
      <c r="P14" s="1636"/>
      <c r="Q14" s="1636"/>
      <c r="R14" s="1637"/>
      <c r="S14" s="560"/>
      <c r="T14" s="560"/>
      <c r="U14" s="1636" t="s">
        <v>384</v>
      </c>
      <c r="V14" s="1637"/>
    </row>
    <row r="15" spans="1:23" s="508" customFormat="1" ht="40.5" customHeight="1" x14ac:dyDescent="0.2">
      <c r="A15" s="1661" t="s">
        <v>14</v>
      </c>
      <c r="B15" s="1662"/>
      <c r="C15" s="1662"/>
      <c r="D15" s="1663"/>
      <c r="E15" s="1638" t="s">
        <v>1178</v>
      </c>
      <c r="F15" s="1639"/>
      <c r="G15" s="1639"/>
      <c r="H15" s="1639"/>
      <c r="I15" s="1640"/>
      <c r="J15" s="1647" t="s">
        <v>1179</v>
      </c>
      <c r="K15" s="1648"/>
      <c r="L15" s="1648"/>
      <c r="M15" s="1648"/>
      <c r="N15" s="1648"/>
      <c r="O15" s="1648"/>
      <c r="P15" s="1648"/>
      <c r="Q15" s="1648"/>
      <c r="R15" s="1649"/>
      <c r="S15" s="525"/>
      <c r="T15" s="523"/>
      <c r="U15" s="1656"/>
      <c r="V15" s="1657"/>
    </row>
    <row r="16" spans="1:23" s="508" customFormat="1" ht="40.5" customHeight="1" x14ac:dyDescent="0.2">
      <c r="A16" s="1664" t="s">
        <v>286</v>
      </c>
      <c r="B16" s="1665"/>
      <c r="C16" s="1665"/>
      <c r="D16" s="1666"/>
      <c r="E16" s="1641" t="s">
        <v>1180</v>
      </c>
      <c r="F16" s="1642"/>
      <c r="G16" s="1642"/>
      <c r="H16" s="1642"/>
      <c r="I16" s="1643"/>
      <c r="J16" s="1650" t="s">
        <v>1181</v>
      </c>
      <c r="K16" s="1651"/>
      <c r="L16" s="1651"/>
      <c r="M16" s="1651"/>
      <c r="N16" s="1651"/>
      <c r="O16" s="1651"/>
      <c r="P16" s="1651"/>
      <c r="Q16" s="1651"/>
      <c r="R16" s="1652"/>
      <c r="S16" s="526"/>
      <c r="T16" s="522"/>
      <c r="U16" s="1670"/>
      <c r="V16" s="1671"/>
    </row>
    <row r="17" spans="1:22" ht="40.5" customHeight="1" thickBot="1" x14ac:dyDescent="0.25">
      <c r="A17" s="1658" t="s">
        <v>287</v>
      </c>
      <c r="B17" s="1659"/>
      <c r="C17" s="1659"/>
      <c r="D17" s="1660"/>
      <c r="E17" s="1644" t="s">
        <v>1570</v>
      </c>
      <c r="F17" s="1645"/>
      <c r="G17" s="1645"/>
      <c r="H17" s="1645"/>
      <c r="I17" s="1646"/>
      <c r="J17" s="1653" t="s">
        <v>1571</v>
      </c>
      <c r="K17" s="1654"/>
      <c r="L17" s="1654"/>
      <c r="M17" s="1654"/>
      <c r="N17" s="1654"/>
      <c r="O17" s="1654"/>
      <c r="P17" s="1654"/>
      <c r="Q17" s="1654"/>
      <c r="R17" s="1655"/>
      <c r="S17" s="527"/>
      <c r="T17" s="524"/>
      <c r="U17" s="1631"/>
      <c r="V17" s="1632"/>
    </row>
    <row r="18" spans="1:22" ht="19.5" customHeight="1" x14ac:dyDescent="0.2">
      <c r="C18" s="510"/>
      <c r="D18" s="510"/>
      <c r="E18" s="510"/>
      <c r="F18" s="510"/>
      <c r="G18" s="510"/>
      <c r="H18" s="510"/>
      <c r="I18" s="516"/>
      <c r="J18" s="510"/>
      <c r="K18" s="510"/>
      <c r="L18" s="510"/>
      <c r="M18" s="510"/>
      <c r="N18" s="511"/>
      <c r="O18" s="511"/>
      <c r="P18" s="511"/>
      <c r="Q18" s="511"/>
      <c r="R18" s="511"/>
      <c r="S18" s="510"/>
      <c r="T18" s="510"/>
      <c r="U18" s="510"/>
      <c r="V18" s="510"/>
    </row>
    <row r="19" spans="1:22" x14ac:dyDescent="0.2">
      <c r="C19" s="512"/>
      <c r="D19" s="512"/>
      <c r="E19" s="512"/>
      <c r="F19" s="512"/>
      <c r="G19" s="512"/>
      <c r="H19" s="512"/>
      <c r="I19" s="517"/>
      <c r="J19" s="512"/>
      <c r="K19" s="512"/>
      <c r="L19" s="512"/>
      <c r="M19" s="512"/>
      <c r="N19" s="513"/>
      <c r="O19" s="513"/>
      <c r="P19" s="513"/>
      <c r="Q19" s="513"/>
      <c r="R19" s="513"/>
      <c r="S19" s="512"/>
      <c r="T19" s="512"/>
      <c r="U19" s="512"/>
      <c r="V19" s="512"/>
    </row>
    <row r="20" spans="1:22" x14ac:dyDescent="0.2">
      <c r="C20" s="512"/>
      <c r="D20" s="512"/>
      <c r="E20" s="512"/>
      <c r="F20" s="512"/>
      <c r="G20" s="512"/>
      <c r="H20" s="512"/>
      <c r="I20" s="517"/>
      <c r="J20" s="512"/>
      <c r="K20" s="512"/>
      <c r="L20" s="512"/>
      <c r="M20" s="512"/>
      <c r="N20" s="513"/>
      <c r="O20" s="513"/>
      <c r="P20" s="513"/>
      <c r="Q20" s="513"/>
      <c r="R20" s="513"/>
      <c r="S20" s="512"/>
      <c r="T20" s="512"/>
      <c r="U20" s="512"/>
      <c r="V20" s="512"/>
    </row>
    <row r="21" spans="1:22" x14ac:dyDescent="0.2">
      <c r="C21" s="512"/>
      <c r="D21" s="512"/>
      <c r="E21" s="512"/>
      <c r="F21" s="512"/>
      <c r="G21" s="512"/>
      <c r="H21" s="512"/>
      <c r="I21" s="517"/>
      <c r="J21" s="512"/>
      <c r="K21" s="512"/>
      <c r="L21" s="512"/>
      <c r="M21" s="512"/>
      <c r="N21" s="513"/>
      <c r="O21" s="513"/>
      <c r="P21" s="513"/>
      <c r="Q21" s="513"/>
      <c r="R21" s="513"/>
      <c r="S21" s="512"/>
      <c r="T21" s="512"/>
      <c r="U21" s="512"/>
      <c r="V21" s="512"/>
    </row>
    <row r="22" spans="1:22" x14ac:dyDescent="0.2">
      <c r="C22" s="512"/>
      <c r="D22" s="512"/>
      <c r="E22" s="512"/>
      <c r="F22" s="512"/>
      <c r="G22" s="512"/>
      <c r="H22" s="512"/>
      <c r="I22" s="517"/>
      <c r="J22" s="512"/>
      <c r="K22" s="512"/>
      <c r="L22" s="512"/>
      <c r="M22" s="512"/>
      <c r="N22" s="513"/>
      <c r="O22" s="513"/>
      <c r="P22" s="513"/>
      <c r="Q22" s="513"/>
      <c r="R22" s="513"/>
      <c r="S22" s="512"/>
      <c r="T22" s="512"/>
      <c r="U22" s="512"/>
      <c r="V22" s="512"/>
    </row>
    <row r="23" spans="1:22" x14ac:dyDescent="0.2">
      <c r="C23" s="512"/>
      <c r="D23" s="512"/>
      <c r="E23" s="512"/>
      <c r="F23" s="512"/>
      <c r="G23" s="512"/>
      <c r="H23" s="512"/>
      <c r="I23" s="517"/>
      <c r="J23" s="512"/>
      <c r="K23" s="512"/>
      <c r="L23" s="512"/>
      <c r="M23" s="512"/>
      <c r="N23" s="513"/>
      <c r="O23" s="513"/>
      <c r="P23" s="513"/>
      <c r="Q23" s="513"/>
      <c r="R23" s="513"/>
      <c r="S23" s="512"/>
      <c r="T23" s="512"/>
      <c r="U23" s="512"/>
      <c r="V23" s="512"/>
    </row>
    <row r="24" spans="1:22" x14ac:dyDescent="0.2">
      <c r="C24" s="512"/>
      <c r="D24" s="512"/>
      <c r="E24" s="512"/>
      <c r="F24" s="512"/>
      <c r="G24" s="512"/>
      <c r="H24" s="512"/>
      <c r="I24" s="517"/>
      <c r="J24" s="512"/>
      <c r="K24" s="512"/>
      <c r="L24" s="512"/>
      <c r="M24" s="512"/>
      <c r="N24" s="513"/>
      <c r="O24" s="513"/>
      <c r="P24" s="513"/>
      <c r="Q24" s="513"/>
      <c r="R24" s="513"/>
      <c r="S24" s="512"/>
      <c r="T24" s="512"/>
      <c r="U24" s="512"/>
      <c r="V24" s="512"/>
    </row>
    <row r="25" spans="1:22" x14ac:dyDescent="0.2">
      <c r="C25" s="512"/>
      <c r="D25" s="512"/>
      <c r="E25" s="512"/>
      <c r="F25" s="512"/>
      <c r="G25" s="512"/>
      <c r="H25" s="512"/>
      <c r="I25" s="517"/>
      <c r="J25" s="512"/>
      <c r="K25" s="512"/>
      <c r="L25" s="512"/>
      <c r="M25" s="512"/>
      <c r="N25" s="513"/>
      <c r="O25" s="513"/>
      <c r="P25" s="513"/>
      <c r="Q25" s="513"/>
      <c r="R25" s="513"/>
      <c r="S25" s="512"/>
      <c r="T25" s="512"/>
      <c r="U25" s="512"/>
      <c r="V25" s="512"/>
    </row>
    <row r="26" spans="1:22" x14ac:dyDescent="0.2">
      <c r="C26" s="512"/>
      <c r="D26" s="512"/>
      <c r="E26" s="512"/>
      <c r="F26" s="512"/>
      <c r="G26" s="512"/>
      <c r="H26" s="512"/>
      <c r="I26" s="517"/>
      <c r="J26" s="512"/>
      <c r="K26" s="512"/>
      <c r="L26" s="512"/>
      <c r="M26" s="512"/>
      <c r="N26" s="514"/>
      <c r="O26" s="514"/>
      <c r="P26" s="514"/>
      <c r="Q26" s="514"/>
      <c r="R26" s="514"/>
      <c r="S26" s="512"/>
      <c r="T26" s="512"/>
      <c r="U26" s="512"/>
      <c r="V26" s="512"/>
    </row>
    <row r="27" spans="1:22" x14ac:dyDescent="0.2">
      <c r="C27" s="512"/>
      <c r="D27" s="512"/>
      <c r="E27" s="512"/>
      <c r="F27" s="512"/>
      <c r="G27" s="512"/>
      <c r="H27" s="512"/>
      <c r="I27" s="517"/>
      <c r="J27" s="512"/>
      <c r="K27" s="512"/>
      <c r="L27" s="512"/>
      <c r="M27" s="512"/>
      <c r="N27" s="514"/>
      <c r="O27" s="514"/>
      <c r="P27" s="514"/>
      <c r="Q27" s="514"/>
      <c r="R27" s="514"/>
      <c r="S27" s="512"/>
      <c r="T27" s="512"/>
      <c r="U27" s="512"/>
      <c r="V27" s="512"/>
    </row>
    <row r="28" spans="1:22" x14ac:dyDescent="0.2">
      <c r="C28" s="512"/>
      <c r="D28" s="512"/>
      <c r="E28" s="512"/>
      <c r="F28" s="512"/>
      <c r="G28" s="512"/>
      <c r="H28" s="512"/>
      <c r="I28" s="517"/>
      <c r="J28" s="512"/>
      <c r="K28" s="512"/>
      <c r="L28" s="512"/>
      <c r="M28" s="512"/>
      <c r="N28" s="514"/>
      <c r="O28" s="514"/>
      <c r="P28" s="514"/>
      <c r="Q28" s="514"/>
      <c r="R28" s="514"/>
      <c r="S28" s="512"/>
      <c r="T28" s="512"/>
      <c r="U28" s="512"/>
      <c r="V28" s="512"/>
    </row>
    <row r="29" spans="1:22" x14ac:dyDescent="0.2">
      <c r="C29" s="512"/>
      <c r="D29" s="512"/>
      <c r="E29" s="512"/>
      <c r="F29" s="512"/>
      <c r="G29" s="512"/>
      <c r="H29" s="512"/>
      <c r="I29" s="517"/>
      <c r="J29" s="512"/>
      <c r="K29" s="512"/>
      <c r="L29" s="512"/>
      <c r="M29" s="512"/>
      <c r="N29" s="514"/>
      <c r="O29" s="514"/>
      <c r="P29" s="514"/>
      <c r="Q29" s="514"/>
      <c r="R29" s="514"/>
      <c r="S29" s="512"/>
      <c r="T29" s="512"/>
      <c r="U29" s="512"/>
      <c r="V29" s="512"/>
    </row>
    <row r="30" spans="1:22" x14ac:dyDescent="0.2">
      <c r="C30" s="512"/>
      <c r="D30" s="512"/>
      <c r="E30" s="512"/>
      <c r="F30" s="512"/>
      <c r="G30" s="512"/>
      <c r="H30" s="512"/>
      <c r="I30" s="517"/>
      <c r="J30" s="512"/>
      <c r="K30" s="512"/>
      <c r="L30" s="512"/>
      <c r="M30" s="512"/>
      <c r="N30" s="514"/>
      <c r="O30" s="514"/>
      <c r="P30" s="514"/>
      <c r="Q30" s="514"/>
      <c r="R30" s="514"/>
      <c r="S30" s="512"/>
      <c r="T30" s="512"/>
      <c r="U30" s="512"/>
      <c r="V30" s="512"/>
    </row>
    <row r="31" spans="1:22" x14ac:dyDescent="0.2">
      <c r="C31" s="512"/>
      <c r="D31" s="512"/>
      <c r="E31" s="512"/>
      <c r="F31" s="512"/>
      <c r="G31" s="512"/>
      <c r="H31" s="512"/>
      <c r="I31" s="517"/>
      <c r="J31" s="512"/>
      <c r="K31" s="512"/>
      <c r="L31" s="512"/>
      <c r="M31" s="512"/>
      <c r="N31" s="514"/>
      <c r="O31" s="514"/>
      <c r="P31" s="514"/>
      <c r="Q31" s="514"/>
      <c r="R31" s="514"/>
      <c r="S31" s="512"/>
      <c r="T31" s="512"/>
      <c r="U31" s="512"/>
      <c r="V31" s="512"/>
    </row>
    <row r="32" spans="1:22" x14ac:dyDescent="0.2">
      <c r="C32" s="512"/>
      <c r="D32" s="512"/>
      <c r="E32" s="512"/>
      <c r="F32" s="512"/>
      <c r="G32" s="512"/>
      <c r="H32" s="512"/>
      <c r="I32" s="517"/>
      <c r="J32" s="512"/>
      <c r="K32" s="512"/>
      <c r="L32" s="512"/>
      <c r="M32" s="512"/>
      <c r="N32" s="514"/>
      <c r="O32" s="514"/>
      <c r="P32" s="514"/>
      <c r="Q32" s="514"/>
      <c r="R32" s="514"/>
      <c r="S32" s="512"/>
      <c r="T32" s="512"/>
      <c r="U32" s="512"/>
      <c r="V32" s="512"/>
    </row>
    <row r="33" spans="3:22" x14ac:dyDescent="0.2">
      <c r="C33" s="512"/>
      <c r="D33" s="512"/>
      <c r="E33" s="512"/>
      <c r="F33" s="512"/>
      <c r="G33" s="512"/>
      <c r="H33" s="512"/>
      <c r="I33" s="517"/>
      <c r="J33" s="512"/>
      <c r="K33" s="512"/>
      <c r="L33" s="512"/>
      <c r="M33" s="512"/>
      <c r="N33" s="514"/>
      <c r="O33" s="514"/>
      <c r="P33" s="514"/>
      <c r="Q33" s="514"/>
      <c r="R33" s="514"/>
      <c r="S33" s="512"/>
      <c r="T33" s="512"/>
      <c r="U33" s="512"/>
      <c r="V33" s="512"/>
    </row>
    <row r="34" spans="3:22" x14ac:dyDescent="0.2">
      <c r="C34" s="512"/>
      <c r="D34" s="512"/>
      <c r="E34" s="512"/>
      <c r="F34" s="512"/>
      <c r="G34" s="512"/>
      <c r="H34" s="512"/>
      <c r="I34" s="517"/>
      <c r="J34" s="512"/>
      <c r="K34" s="512"/>
      <c r="L34" s="512"/>
      <c r="M34" s="512"/>
      <c r="N34" s="514"/>
      <c r="O34" s="514"/>
      <c r="P34" s="514"/>
      <c r="Q34" s="514"/>
      <c r="R34" s="514"/>
      <c r="S34" s="512"/>
      <c r="T34" s="512"/>
      <c r="U34" s="512"/>
      <c r="V34" s="512"/>
    </row>
    <row r="35" spans="3:22" x14ac:dyDescent="0.2">
      <c r="C35" s="512"/>
      <c r="D35" s="512"/>
      <c r="E35" s="512"/>
      <c r="F35" s="512"/>
      <c r="G35" s="512"/>
      <c r="H35" s="512"/>
      <c r="I35" s="517"/>
      <c r="J35" s="512"/>
      <c r="K35" s="512"/>
      <c r="L35" s="512"/>
      <c r="M35" s="512"/>
      <c r="N35" s="514"/>
      <c r="O35" s="514"/>
      <c r="P35" s="514"/>
      <c r="Q35" s="514"/>
      <c r="R35" s="514"/>
      <c r="S35" s="512"/>
      <c r="T35" s="512"/>
      <c r="U35" s="512"/>
      <c r="V35" s="512"/>
    </row>
    <row r="36" spans="3:22" x14ac:dyDescent="0.2">
      <c r="C36" s="512"/>
      <c r="D36" s="512"/>
      <c r="E36" s="512"/>
      <c r="F36" s="512"/>
      <c r="G36" s="512"/>
      <c r="H36" s="512"/>
      <c r="I36" s="517"/>
      <c r="J36" s="512"/>
      <c r="K36" s="512"/>
      <c r="L36" s="512"/>
      <c r="M36" s="512"/>
      <c r="N36" s="514"/>
      <c r="O36" s="514"/>
      <c r="P36" s="514"/>
      <c r="Q36" s="514"/>
      <c r="R36" s="514"/>
      <c r="S36" s="512"/>
      <c r="T36" s="512"/>
      <c r="U36" s="512"/>
      <c r="V36" s="512"/>
    </row>
    <row r="37" spans="3:22" x14ac:dyDescent="0.2">
      <c r="C37" s="512"/>
      <c r="D37" s="512"/>
      <c r="E37" s="512"/>
      <c r="F37" s="512"/>
      <c r="G37" s="512"/>
      <c r="H37" s="512"/>
      <c r="I37" s="517"/>
      <c r="J37" s="512"/>
      <c r="K37" s="512"/>
      <c r="L37" s="512"/>
      <c r="M37" s="512"/>
      <c r="N37" s="514"/>
      <c r="O37" s="514"/>
      <c r="P37" s="514"/>
      <c r="Q37" s="514"/>
      <c r="R37" s="514"/>
      <c r="S37" s="512"/>
      <c r="T37" s="512"/>
      <c r="U37" s="512"/>
      <c r="V37" s="512"/>
    </row>
    <row r="38" spans="3:22" x14ac:dyDescent="0.2">
      <c r="C38" s="512"/>
      <c r="D38" s="512"/>
      <c r="E38" s="512"/>
      <c r="F38" s="512"/>
      <c r="G38" s="512"/>
      <c r="H38" s="512"/>
      <c r="I38" s="517"/>
      <c r="J38" s="512"/>
      <c r="K38" s="512"/>
      <c r="L38" s="512"/>
      <c r="M38" s="512"/>
      <c r="N38" s="514"/>
      <c r="O38" s="514"/>
      <c r="P38" s="514"/>
      <c r="Q38" s="514"/>
      <c r="R38" s="514"/>
      <c r="S38" s="512"/>
      <c r="T38" s="512"/>
      <c r="U38" s="512"/>
      <c r="V38" s="512"/>
    </row>
    <row r="39" spans="3:22" x14ac:dyDescent="0.2">
      <c r="C39" s="512"/>
      <c r="D39" s="512"/>
      <c r="E39" s="512"/>
      <c r="F39" s="512"/>
      <c r="G39" s="512"/>
      <c r="H39" s="512"/>
      <c r="I39" s="517"/>
      <c r="J39" s="512"/>
      <c r="K39" s="512"/>
      <c r="L39" s="512"/>
      <c r="M39" s="512"/>
      <c r="N39" s="514"/>
      <c r="O39" s="514"/>
      <c r="P39" s="514"/>
      <c r="Q39" s="514"/>
      <c r="R39" s="514"/>
      <c r="S39" s="512"/>
      <c r="T39" s="512"/>
      <c r="U39" s="512"/>
      <c r="V39" s="512"/>
    </row>
    <row r="40" spans="3:22" x14ac:dyDescent="0.2">
      <c r="C40" s="512"/>
      <c r="D40" s="512"/>
      <c r="E40" s="512"/>
      <c r="F40" s="512"/>
      <c r="G40" s="512"/>
      <c r="H40" s="512"/>
      <c r="I40" s="517"/>
      <c r="J40" s="512"/>
      <c r="K40" s="512"/>
      <c r="L40" s="512"/>
      <c r="M40" s="512"/>
      <c r="N40" s="514"/>
      <c r="O40" s="514"/>
      <c r="P40" s="514"/>
      <c r="Q40" s="514"/>
      <c r="R40" s="514"/>
      <c r="S40" s="512"/>
      <c r="T40" s="512"/>
      <c r="U40" s="512"/>
      <c r="V40" s="512"/>
    </row>
    <row r="41" spans="3:22" x14ac:dyDescent="0.2">
      <c r="C41" s="512"/>
      <c r="D41" s="512"/>
      <c r="E41" s="512"/>
      <c r="F41" s="512"/>
      <c r="G41" s="512"/>
      <c r="H41" s="512"/>
      <c r="I41" s="517"/>
      <c r="J41" s="512"/>
      <c r="K41" s="512"/>
      <c r="L41" s="512"/>
      <c r="M41" s="512"/>
      <c r="N41" s="514"/>
      <c r="O41" s="514"/>
      <c r="P41" s="514"/>
      <c r="Q41" s="514"/>
      <c r="R41" s="514"/>
      <c r="S41" s="512"/>
      <c r="T41" s="512"/>
      <c r="U41" s="512"/>
      <c r="V41" s="512"/>
    </row>
    <row r="42" spans="3:22" x14ac:dyDescent="0.2">
      <c r="C42" s="512"/>
      <c r="D42" s="512"/>
      <c r="E42" s="512"/>
      <c r="F42" s="512"/>
      <c r="G42" s="512"/>
      <c r="H42" s="512"/>
      <c r="I42" s="517"/>
      <c r="J42" s="512"/>
      <c r="K42" s="512"/>
      <c r="L42" s="512"/>
      <c r="M42" s="512"/>
      <c r="N42" s="514"/>
      <c r="O42" s="514"/>
      <c r="P42" s="514"/>
      <c r="Q42" s="514"/>
      <c r="R42" s="514"/>
      <c r="S42" s="512"/>
      <c r="T42" s="512"/>
      <c r="U42" s="512"/>
      <c r="V42" s="512"/>
    </row>
    <row r="43" spans="3:22" x14ac:dyDescent="0.2">
      <c r="C43" s="512"/>
      <c r="D43" s="512"/>
      <c r="E43" s="512"/>
      <c r="F43" s="512"/>
      <c r="G43" s="512"/>
      <c r="H43" s="512"/>
      <c r="I43" s="517"/>
      <c r="J43" s="512"/>
      <c r="K43" s="512"/>
      <c r="L43" s="512"/>
      <c r="M43" s="512"/>
      <c r="N43" s="514"/>
      <c r="O43" s="514"/>
      <c r="P43" s="514"/>
      <c r="Q43" s="514"/>
      <c r="R43" s="514"/>
      <c r="S43" s="512"/>
      <c r="T43" s="512"/>
      <c r="U43" s="512"/>
      <c r="V43" s="512"/>
    </row>
    <row r="44" spans="3:22" x14ac:dyDescent="0.2">
      <c r="C44" s="512"/>
      <c r="D44" s="512"/>
      <c r="E44" s="512"/>
      <c r="F44" s="512"/>
      <c r="G44" s="512"/>
      <c r="H44" s="512"/>
      <c r="I44" s="517"/>
      <c r="J44" s="512"/>
      <c r="K44" s="512"/>
      <c r="L44" s="512"/>
      <c r="M44" s="512"/>
      <c r="N44" s="514"/>
      <c r="O44" s="514"/>
      <c r="P44" s="514"/>
      <c r="Q44" s="514"/>
      <c r="R44" s="514"/>
      <c r="S44" s="512"/>
      <c r="T44" s="512"/>
      <c r="U44" s="512"/>
      <c r="V44" s="512"/>
    </row>
    <row r="45" spans="3:22" x14ac:dyDescent="0.2">
      <c r="C45" s="512"/>
      <c r="D45" s="512"/>
      <c r="E45" s="512"/>
      <c r="F45" s="512"/>
      <c r="G45" s="512"/>
      <c r="H45" s="512"/>
      <c r="I45" s="517"/>
      <c r="J45" s="512"/>
      <c r="K45" s="512"/>
      <c r="L45" s="512"/>
      <c r="M45" s="512"/>
      <c r="N45" s="514"/>
      <c r="O45" s="514"/>
      <c r="P45" s="514"/>
      <c r="Q45" s="514"/>
      <c r="R45" s="514"/>
      <c r="S45" s="512"/>
      <c r="T45" s="512"/>
      <c r="U45" s="512"/>
      <c r="V45" s="512"/>
    </row>
    <row r="46" spans="3:22" x14ac:dyDescent="0.2">
      <c r="C46" s="512"/>
      <c r="D46" s="512"/>
      <c r="E46" s="512"/>
      <c r="F46" s="512"/>
      <c r="G46" s="512"/>
      <c r="H46" s="512"/>
      <c r="I46" s="517"/>
      <c r="J46" s="512"/>
      <c r="K46" s="512"/>
      <c r="L46" s="512"/>
      <c r="M46" s="512"/>
      <c r="N46" s="514"/>
      <c r="O46" s="514"/>
      <c r="P46" s="514"/>
      <c r="Q46" s="514"/>
      <c r="R46" s="514"/>
      <c r="S46" s="512"/>
      <c r="T46" s="512"/>
      <c r="U46" s="512"/>
      <c r="V46" s="512"/>
    </row>
    <row r="47" spans="3:22" x14ac:dyDescent="0.2">
      <c r="C47" s="512"/>
      <c r="D47" s="512"/>
      <c r="E47" s="512"/>
      <c r="F47" s="512"/>
      <c r="G47" s="512"/>
      <c r="H47" s="512"/>
      <c r="I47" s="517"/>
      <c r="J47" s="512"/>
      <c r="K47" s="512"/>
      <c r="L47" s="512"/>
      <c r="M47" s="512"/>
      <c r="N47" s="514"/>
      <c r="O47" s="514"/>
      <c r="P47" s="514"/>
      <c r="Q47" s="514"/>
      <c r="R47" s="514"/>
      <c r="S47" s="512"/>
      <c r="T47" s="512"/>
      <c r="U47" s="512"/>
      <c r="V47" s="512"/>
    </row>
    <row r="48" spans="3:22" x14ac:dyDescent="0.2">
      <c r="C48" s="512"/>
      <c r="D48" s="512"/>
      <c r="E48" s="512"/>
      <c r="F48" s="512"/>
      <c r="G48" s="512"/>
      <c r="H48" s="512"/>
      <c r="I48" s="517"/>
      <c r="J48" s="512"/>
      <c r="K48" s="512"/>
      <c r="L48" s="512"/>
      <c r="M48" s="512"/>
      <c r="N48" s="514"/>
      <c r="O48" s="514"/>
      <c r="P48" s="514"/>
      <c r="Q48" s="514"/>
      <c r="R48" s="514"/>
      <c r="S48" s="512"/>
      <c r="T48" s="512"/>
      <c r="U48" s="512"/>
      <c r="V48" s="512"/>
    </row>
    <row r="49" spans="3:22" x14ac:dyDescent="0.2">
      <c r="C49" s="512"/>
      <c r="D49" s="512"/>
      <c r="E49" s="512"/>
      <c r="F49" s="512"/>
      <c r="G49" s="512"/>
      <c r="H49" s="512"/>
      <c r="I49" s="517"/>
      <c r="J49" s="512"/>
      <c r="K49" s="512"/>
      <c r="L49" s="512"/>
      <c r="M49" s="512"/>
      <c r="N49" s="514"/>
      <c r="O49" s="514"/>
      <c r="P49" s="514"/>
      <c r="Q49" s="514"/>
      <c r="R49" s="514"/>
      <c r="S49" s="512"/>
      <c r="T49" s="512"/>
      <c r="U49" s="512"/>
      <c r="V49" s="512"/>
    </row>
    <row r="50" spans="3:22" x14ac:dyDescent="0.2">
      <c r="C50" s="512"/>
      <c r="D50" s="512"/>
      <c r="E50" s="512"/>
      <c r="F50" s="512"/>
      <c r="G50" s="512"/>
      <c r="H50" s="512"/>
      <c r="I50" s="517"/>
      <c r="J50" s="512"/>
      <c r="K50" s="512"/>
      <c r="L50" s="512"/>
      <c r="M50" s="512"/>
      <c r="N50" s="514"/>
      <c r="O50" s="514"/>
      <c r="P50" s="514"/>
      <c r="Q50" s="514"/>
      <c r="R50" s="514"/>
      <c r="S50" s="512"/>
      <c r="T50" s="512"/>
      <c r="U50" s="512"/>
      <c r="V50" s="512"/>
    </row>
    <row r="51" spans="3:22" x14ac:dyDescent="0.2">
      <c r="C51" s="512"/>
      <c r="D51" s="512"/>
      <c r="E51" s="512"/>
      <c r="F51" s="512"/>
      <c r="G51" s="512"/>
      <c r="H51" s="512"/>
      <c r="I51" s="517"/>
      <c r="J51" s="512"/>
      <c r="K51" s="512"/>
      <c r="L51" s="512"/>
      <c r="M51" s="512"/>
      <c r="N51" s="514"/>
      <c r="O51" s="514"/>
      <c r="P51" s="514"/>
      <c r="Q51" s="514"/>
      <c r="R51" s="514"/>
      <c r="S51" s="512"/>
      <c r="T51" s="512"/>
      <c r="U51" s="512"/>
      <c r="V51" s="512"/>
    </row>
    <row r="52" spans="3:22" x14ac:dyDescent="0.2">
      <c r="C52" s="512"/>
      <c r="D52" s="512"/>
      <c r="E52" s="512"/>
      <c r="F52" s="512"/>
      <c r="G52" s="512"/>
      <c r="H52" s="512"/>
      <c r="I52" s="517"/>
      <c r="J52" s="512"/>
      <c r="K52" s="512"/>
      <c r="L52" s="512"/>
      <c r="M52" s="512"/>
      <c r="N52" s="514"/>
      <c r="O52" s="514"/>
      <c r="P52" s="514"/>
      <c r="Q52" s="514"/>
      <c r="R52" s="514"/>
      <c r="S52" s="512"/>
      <c r="T52" s="512"/>
      <c r="U52" s="512"/>
      <c r="V52" s="512"/>
    </row>
    <row r="53" spans="3:22" x14ac:dyDescent="0.2">
      <c r="C53" s="512"/>
      <c r="D53" s="512"/>
      <c r="E53" s="512"/>
      <c r="F53" s="512"/>
      <c r="G53" s="512"/>
      <c r="H53" s="512"/>
      <c r="I53" s="517"/>
      <c r="J53" s="512"/>
      <c r="K53" s="512"/>
      <c r="L53" s="512"/>
      <c r="M53" s="512"/>
      <c r="N53" s="514"/>
      <c r="O53" s="514"/>
      <c r="P53" s="514"/>
      <c r="Q53" s="514"/>
      <c r="R53" s="514"/>
      <c r="S53" s="512"/>
      <c r="T53" s="512"/>
      <c r="U53" s="512"/>
      <c r="V53" s="512"/>
    </row>
    <row r="54" spans="3:22" x14ac:dyDescent="0.2">
      <c r="C54" s="512"/>
      <c r="D54" s="512"/>
      <c r="E54" s="512"/>
      <c r="F54" s="512"/>
      <c r="G54" s="512"/>
      <c r="H54" s="512"/>
      <c r="I54" s="517"/>
      <c r="J54" s="512"/>
      <c r="K54" s="512"/>
      <c r="L54" s="512"/>
      <c r="M54" s="512"/>
      <c r="N54" s="514"/>
      <c r="O54" s="514"/>
      <c r="P54" s="514"/>
      <c r="Q54" s="514"/>
      <c r="R54" s="514"/>
      <c r="S54" s="512"/>
      <c r="T54" s="512"/>
      <c r="U54" s="512"/>
      <c r="V54" s="512"/>
    </row>
    <row r="55" spans="3:22" x14ac:dyDescent="0.2">
      <c r="C55" s="512"/>
      <c r="D55" s="512"/>
      <c r="E55" s="512"/>
      <c r="F55" s="512"/>
      <c r="G55" s="512"/>
      <c r="H55" s="512"/>
      <c r="I55" s="517"/>
      <c r="J55" s="512"/>
      <c r="K55" s="512"/>
      <c r="L55" s="512"/>
      <c r="M55" s="512"/>
      <c r="N55" s="514"/>
      <c r="O55" s="514"/>
      <c r="P55" s="514"/>
      <c r="Q55" s="514"/>
      <c r="R55" s="514"/>
      <c r="S55" s="512"/>
      <c r="T55" s="512"/>
      <c r="U55" s="512"/>
      <c r="V55" s="512"/>
    </row>
    <row r="56" spans="3:22" x14ac:dyDescent="0.2">
      <c r="C56" s="512"/>
      <c r="D56" s="512"/>
      <c r="E56" s="512"/>
      <c r="F56" s="512"/>
      <c r="G56" s="512"/>
      <c r="H56" s="512"/>
      <c r="I56" s="517"/>
      <c r="J56" s="512"/>
      <c r="K56" s="512"/>
      <c r="L56" s="512"/>
      <c r="M56" s="512"/>
      <c r="N56" s="514"/>
      <c r="O56" s="514"/>
      <c r="P56" s="514"/>
      <c r="Q56" s="514"/>
      <c r="R56" s="514"/>
      <c r="S56" s="512"/>
      <c r="T56" s="512"/>
      <c r="U56" s="512"/>
      <c r="V56" s="512"/>
    </row>
    <row r="57" spans="3:22" x14ac:dyDescent="0.2">
      <c r="C57" s="512"/>
      <c r="D57" s="512"/>
      <c r="E57" s="512"/>
      <c r="F57" s="512"/>
      <c r="G57" s="512"/>
      <c r="H57" s="512"/>
      <c r="I57" s="517"/>
      <c r="J57" s="512"/>
      <c r="K57" s="512"/>
      <c r="L57" s="512"/>
      <c r="M57" s="512"/>
      <c r="N57" s="514"/>
      <c r="O57" s="514"/>
      <c r="P57" s="514"/>
      <c r="Q57" s="514"/>
      <c r="R57" s="514"/>
      <c r="S57" s="512"/>
      <c r="T57" s="512"/>
      <c r="U57" s="512"/>
      <c r="V57" s="512"/>
    </row>
    <row r="58" spans="3:22" x14ac:dyDescent="0.2">
      <c r="C58" s="512"/>
      <c r="D58" s="512"/>
      <c r="E58" s="512"/>
      <c r="F58" s="512"/>
      <c r="G58" s="512"/>
      <c r="H58" s="512"/>
      <c r="I58" s="517"/>
      <c r="J58" s="512"/>
      <c r="K58" s="512"/>
      <c r="L58" s="512"/>
      <c r="M58" s="512"/>
      <c r="N58" s="514"/>
      <c r="O58" s="514"/>
      <c r="P58" s="514"/>
      <c r="Q58" s="514"/>
      <c r="R58" s="514"/>
      <c r="S58" s="512"/>
      <c r="T58" s="512"/>
      <c r="U58" s="512"/>
      <c r="V58" s="512"/>
    </row>
    <row r="59" spans="3:22" x14ac:dyDescent="0.2">
      <c r="C59" s="512"/>
      <c r="D59" s="512"/>
      <c r="E59" s="512"/>
      <c r="F59" s="512"/>
      <c r="G59" s="512"/>
      <c r="H59" s="512"/>
      <c r="I59" s="517"/>
      <c r="J59" s="512"/>
      <c r="K59" s="512"/>
      <c r="L59" s="512"/>
      <c r="M59" s="512"/>
      <c r="N59" s="514"/>
      <c r="O59" s="514"/>
      <c r="P59" s="514"/>
      <c r="Q59" s="514"/>
      <c r="R59" s="514"/>
      <c r="S59" s="512"/>
      <c r="T59" s="512"/>
      <c r="U59" s="512"/>
      <c r="V59" s="512"/>
    </row>
    <row r="60" spans="3:22" x14ac:dyDescent="0.2">
      <c r="C60" s="512"/>
      <c r="D60" s="512"/>
      <c r="E60" s="512"/>
      <c r="F60" s="512"/>
      <c r="G60" s="512"/>
      <c r="H60" s="512"/>
      <c r="I60" s="517"/>
      <c r="J60" s="512"/>
      <c r="K60" s="512"/>
      <c r="L60" s="512"/>
      <c r="M60" s="512"/>
      <c r="N60" s="514"/>
      <c r="O60" s="514"/>
      <c r="P60" s="514"/>
      <c r="Q60" s="514"/>
      <c r="R60" s="514"/>
      <c r="S60" s="512"/>
      <c r="T60" s="512"/>
      <c r="U60" s="512"/>
      <c r="V60" s="512"/>
    </row>
    <row r="61" spans="3:22" x14ac:dyDescent="0.2">
      <c r="C61" s="512"/>
      <c r="D61" s="512"/>
      <c r="E61" s="512"/>
      <c r="F61" s="512"/>
      <c r="G61" s="512"/>
      <c r="H61" s="512"/>
      <c r="I61" s="517"/>
      <c r="J61" s="512"/>
      <c r="K61" s="512"/>
      <c r="L61" s="512"/>
      <c r="M61" s="512"/>
      <c r="N61" s="514"/>
      <c r="O61" s="514"/>
      <c r="P61" s="514"/>
      <c r="Q61" s="514"/>
      <c r="R61" s="514"/>
      <c r="S61" s="512"/>
      <c r="T61" s="512"/>
      <c r="U61" s="512"/>
      <c r="V61" s="512"/>
    </row>
    <row r="62" spans="3:22" x14ac:dyDescent="0.2">
      <c r="C62" s="512"/>
      <c r="D62" s="512"/>
      <c r="E62" s="512"/>
      <c r="F62" s="512"/>
      <c r="G62" s="512"/>
      <c r="H62" s="512"/>
      <c r="I62" s="517"/>
      <c r="J62" s="512"/>
      <c r="K62" s="512"/>
      <c r="L62" s="512"/>
      <c r="M62" s="512"/>
      <c r="N62" s="514"/>
      <c r="O62" s="514"/>
      <c r="P62" s="514"/>
      <c r="Q62" s="514"/>
      <c r="R62" s="514"/>
      <c r="S62" s="512"/>
      <c r="T62" s="512"/>
      <c r="U62" s="512"/>
      <c r="V62" s="512"/>
    </row>
    <row r="63" spans="3:22" x14ac:dyDescent="0.2">
      <c r="C63" s="512"/>
      <c r="D63" s="512"/>
      <c r="E63" s="512"/>
      <c r="F63" s="512"/>
      <c r="G63" s="512"/>
      <c r="H63" s="512"/>
      <c r="I63" s="517"/>
      <c r="J63" s="512"/>
      <c r="K63" s="512"/>
      <c r="L63" s="512"/>
      <c r="M63" s="512"/>
      <c r="N63" s="514"/>
      <c r="O63" s="514"/>
      <c r="P63" s="514"/>
      <c r="Q63" s="514"/>
      <c r="R63" s="514"/>
      <c r="S63" s="512"/>
      <c r="T63" s="512"/>
      <c r="U63" s="512"/>
      <c r="V63" s="512"/>
    </row>
    <row r="64" spans="3:22" x14ac:dyDescent="0.2">
      <c r="C64" s="512"/>
      <c r="D64" s="512"/>
      <c r="E64" s="512"/>
      <c r="F64" s="512"/>
      <c r="G64" s="512"/>
      <c r="H64" s="512"/>
      <c r="I64" s="517"/>
      <c r="J64" s="512"/>
      <c r="K64" s="512"/>
      <c r="L64" s="512"/>
      <c r="M64" s="512"/>
      <c r="N64" s="514"/>
      <c r="O64" s="514"/>
      <c r="P64" s="514"/>
      <c r="Q64" s="514"/>
      <c r="R64" s="514"/>
      <c r="S64" s="512"/>
      <c r="T64" s="512"/>
      <c r="U64" s="512"/>
      <c r="V64" s="512"/>
    </row>
    <row r="65" spans="3:22" x14ac:dyDescent="0.2">
      <c r="C65" s="512"/>
      <c r="D65" s="512"/>
      <c r="E65" s="512"/>
      <c r="F65" s="512"/>
      <c r="G65" s="512"/>
      <c r="H65" s="512"/>
      <c r="I65" s="517"/>
      <c r="J65" s="512"/>
      <c r="K65" s="512"/>
      <c r="L65" s="512"/>
      <c r="M65" s="512"/>
      <c r="N65" s="514"/>
      <c r="O65" s="514"/>
      <c r="P65" s="514"/>
      <c r="Q65" s="514"/>
      <c r="R65" s="514"/>
      <c r="S65" s="512"/>
      <c r="T65" s="512"/>
      <c r="U65" s="512"/>
      <c r="V65" s="512"/>
    </row>
    <row r="66" spans="3:22" x14ac:dyDescent="0.2">
      <c r="C66" s="512"/>
      <c r="D66" s="512"/>
      <c r="E66" s="512"/>
      <c r="F66" s="512"/>
      <c r="G66" s="512"/>
      <c r="H66" s="512"/>
      <c r="I66" s="517"/>
      <c r="J66" s="512"/>
      <c r="K66" s="512"/>
      <c r="L66" s="512"/>
      <c r="M66" s="512"/>
      <c r="N66" s="514"/>
      <c r="O66" s="514"/>
      <c r="P66" s="514"/>
      <c r="Q66" s="514"/>
      <c r="R66" s="514"/>
      <c r="S66" s="512"/>
      <c r="T66" s="512"/>
      <c r="U66" s="512"/>
      <c r="V66" s="512"/>
    </row>
    <row r="67" spans="3:22" x14ac:dyDescent="0.2">
      <c r="C67" s="512"/>
      <c r="D67" s="512"/>
      <c r="E67" s="512"/>
      <c r="F67" s="512"/>
      <c r="G67" s="512"/>
      <c r="H67" s="512"/>
      <c r="I67" s="517"/>
      <c r="J67" s="512"/>
      <c r="K67" s="512"/>
      <c r="L67" s="512"/>
      <c r="M67" s="512"/>
      <c r="N67" s="514"/>
      <c r="O67" s="514"/>
      <c r="P67" s="514"/>
      <c r="Q67" s="514"/>
      <c r="R67" s="514"/>
      <c r="S67" s="512"/>
      <c r="T67" s="512"/>
      <c r="U67" s="512"/>
      <c r="V67" s="512"/>
    </row>
    <row r="68" spans="3:22" x14ac:dyDescent="0.2">
      <c r="C68" s="512"/>
      <c r="D68" s="512"/>
      <c r="E68" s="512"/>
      <c r="F68" s="512"/>
      <c r="G68" s="512"/>
      <c r="H68" s="512"/>
      <c r="I68" s="517"/>
      <c r="J68" s="512"/>
      <c r="K68" s="512"/>
      <c r="L68" s="512"/>
      <c r="M68" s="512"/>
      <c r="N68" s="514"/>
      <c r="O68" s="514"/>
      <c r="P68" s="514"/>
      <c r="Q68" s="514"/>
      <c r="R68" s="514"/>
      <c r="S68" s="512"/>
      <c r="T68" s="512"/>
      <c r="U68" s="512"/>
      <c r="V68" s="512"/>
    </row>
    <row r="69" spans="3:22" x14ac:dyDescent="0.2">
      <c r="C69" s="512"/>
      <c r="D69" s="512"/>
      <c r="E69" s="512"/>
      <c r="F69" s="512"/>
      <c r="G69" s="512"/>
      <c r="H69" s="512"/>
      <c r="I69" s="517"/>
      <c r="J69" s="512"/>
      <c r="K69" s="512"/>
      <c r="L69" s="512"/>
      <c r="M69" s="512"/>
      <c r="N69" s="514"/>
      <c r="O69" s="514"/>
      <c r="P69" s="514"/>
      <c r="Q69" s="514"/>
      <c r="R69" s="514"/>
      <c r="S69" s="512"/>
      <c r="T69" s="512"/>
      <c r="U69" s="512"/>
      <c r="V69" s="512"/>
    </row>
    <row r="70" spans="3:22" x14ac:dyDescent="0.2">
      <c r="C70" s="512"/>
      <c r="D70" s="512"/>
      <c r="E70" s="512"/>
      <c r="F70" s="512"/>
      <c r="G70" s="512"/>
      <c r="H70" s="512"/>
      <c r="I70" s="517"/>
      <c r="J70" s="512"/>
      <c r="K70" s="512"/>
      <c r="L70" s="512"/>
      <c r="M70" s="512"/>
      <c r="N70" s="514"/>
      <c r="O70" s="514"/>
      <c r="P70" s="514"/>
      <c r="Q70" s="514"/>
      <c r="R70" s="514"/>
      <c r="S70" s="512"/>
      <c r="T70" s="512"/>
      <c r="U70" s="512"/>
      <c r="V70" s="512"/>
    </row>
    <row r="71" spans="3:22" x14ac:dyDescent="0.2">
      <c r="C71" s="512"/>
      <c r="D71" s="512"/>
      <c r="E71" s="512"/>
      <c r="F71" s="512"/>
      <c r="G71" s="512"/>
      <c r="H71" s="512"/>
      <c r="I71" s="517"/>
      <c r="J71" s="512"/>
      <c r="K71" s="512"/>
      <c r="L71" s="512"/>
      <c r="M71" s="512"/>
      <c r="N71" s="514"/>
      <c r="O71" s="514"/>
      <c r="P71" s="514"/>
      <c r="Q71" s="514"/>
      <c r="R71" s="514"/>
      <c r="S71" s="512"/>
      <c r="T71" s="512"/>
      <c r="U71" s="512"/>
      <c r="V71" s="512"/>
    </row>
    <row r="72" spans="3:22" x14ac:dyDescent="0.2">
      <c r="C72" s="512"/>
      <c r="D72" s="512"/>
      <c r="E72" s="512"/>
      <c r="F72" s="512"/>
      <c r="G72" s="512"/>
      <c r="H72" s="512"/>
      <c r="I72" s="517"/>
      <c r="J72" s="512"/>
      <c r="K72" s="512"/>
      <c r="L72" s="512"/>
      <c r="M72" s="512"/>
      <c r="N72" s="514"/>
      <c r="O72" s="514"/>
      <c r="P72" s="514"/>
      <c r="Q72" s="514"/>
      <c r="R72" s="514"/>
      <c r="S72" s="512"/>
      <c r="T72" s="512"/>
      <c r="U72" s="512"/>
      <c r="V72" s="512"/>
    </row>
    <row r="73" spans="3:22" x14ac:dyDescent="0.2">
      <c r="C73" s="512"/>
      <c r="D73" s="512"/>
      <c r="E73" s="512"/>
      <c r="F73" s="512"/>
      <c r="G73" s="512"/>
      <c r="H73" s="512"/>
      <c r="I73" s="517"/>
      <c r="J73" s="512"/>
      <c r="K73" s="512"/>
      <c r="L73" s="512"/>
      <c r="M73" s="512"/>
      <c r="N73" s="514"/>
      <c r="O73" s="514"/>
      <c r="P73" s="514"/>
      <c r="Q73" s="514"/>
      <c r="R73" s="514"/>
      <c r="S73" s="512"/>
      <c r="T73" s="512"/>
      <c r="U73" s="512"/>
      <c r="V73" s="512"/>
    </row>
    <row r="74" spans="3:22" x14ac:dyDescent="0.2">
      <c r="C74" s="512"/>
      <c r="D74" s="512"/>
      <c r="E74" s="512"/>
      <c r="F74" s="512"/>
      <c r="G74" s="512"/>
      <c r="H74" s="512"/>
      <c r="I74" s="517"/>
      <c r="J74" s="512"/>
      <c r="K74" s="512"/>
      <c r="L74" s="512"/>
      <c r="M74" s="512"/>
      <c r="N74" s="514"/>
      <c r="O74" s="514"/>
      <c r="P74" s="514"/>
      <c r="Q74" s="514"/>
      <c r="R74" s="514"/>
      <c r="S74" s="512"/>
      <c r="T74" s="512"/>
      <c r="U74" s="512"/>
      <c r="V74" s="512"/>
    </row>
    <row r="75" spans="3:22" x14ac:dyDescent="0.2">
      <c r="C75" s="512"/>
      <c r="D75" s="512"/>
      <c r="E75" s="512"/>
      <c r="F75" s="512"/>
      <c r="G75" s="512"/>
      <c r="H75" s="512"/>
      <c r="I75" s="517"/>
      <c r="J75" s="512"/>
      <c r="K75" s="512"/>
      <c r="L75" s="512"/>
      <c r="M75" s="512"/>
      <c r="N75" s="514"/>
      <c r="O75" s="514"/>
      <c r="P75" s="514"/>
      <c r="Q75" s="514"/>
      <c r="R75" s="514"/>
      <c r="S75" s="512"/>
      <c r="T75" s="512"/>
      <c r="U75" s="512"/>
      <c r="V75" s="512"/>
    </row>
    <row r="76" spans="3:22" x14ac:dyDescent="0.2">
      <c r="C76" s="512"/>
      <c r="D76" s="512"/>
      <c r="E76" s="512"/>
      <c r="F76" s="512"/>
      <c r="G76" s="512"/>
      <c r="H76" s="512"/>
      <c r="I76" s="517"/>
      <c r="J76" s="512"/>
      <c r="K76" s="512"/>
      <c r="L76" s="512"/>
      <c r="M76" s="512"/>
      <c r="N76" s="514"/>
      <c r="O76" s="514"/>
      <c r="P76" s="514"/>
      <c r="Q76" s="514"/>
      <c r="R76" s="514"/>
      <c r="S76" s="512"/>
      <c r="T76" s="512"/>
      <c r="U76" s="512"/>
      <c r="V76" s="512"/>
    </row>
    <row r="77" spans="3:22" x14ac:dyDescent="0.2">
      <c r="C77" s="512"/>
      <c r="D77" s="512"/>
      <c r="E77" s="512"/>
      <c r="F77" s="512"/>
      <c r="G77" s="512"/>
      <c r="H77" s="512"/>
      <c r="I77" s="517"/>
      <c r="J77" s="512"/>
      <c r="K77" s="512"/>
      <c r="L77" s="512"/>
      <c r="M77" s="512"/>
      <c r="N77" s="514"/>
      <c r="O77" s="514"/>
      <c r="P77" s="514"/>
      <c r="Q77" s="514"/>
      <c r="R77" s="514"/>
      <c r="S77" s="512"/>
      <c r="T77" s="512"/>
      <c r="U77" s="512"/>
      <c r="V77" s="512"/>
    </row>
    <row r="78" spans="3:22" x14ac:dyDescent="0.2">
      <c r="C78" s="512"/>
      <c r="D78" s="512"/>
      <c r="E78" s="512"/>
      <c r="F78" s="512"/>
      <c r="G78" s="512"/>
      <c r="H78" s="512"/>
      <c r="I78" s="517"/>
      <c r="J78" s="512"/>
      <c r="K78" s="512"/>
      <c r="L78" s="512"/>
      <c r="M78" s="512"/>
      <c r="N78" s="514"/>
      <c r="O78" s="514"/>
      <c r="P78" s="514"/>
      <c r="Q78" s="514"/>
      <c r="R78" s="514"/>
      <c r="S78" s="512"/>
      <c r="T78" s="512"/>
      <c r="U78" s="512"/>
      <c r="V78" s="512"/>
    </row>
    <row r="79" spans="3:22" x14ac:dyDescent="0.2">
      <c r="C79" s="512"/>
      <c r="D79" s="512"/>
      <c r="E79" s="512"/>
      <c r="F79" s="512"/>
      <c r="G79" s="512"/>
      <c r="H79" s="512"/>
      <c r="I79" s="517"/>
      <c r="J79" s="512"/>
      <c r="K79" s="512"/>
      <c r="L79" s="512"/>
      <c r="M79" s="512"/>
      <c r="N79" s="514"/>
      <c r="O79" s="514"/>
      <c r="P79" s="514"/>
      <c r="Q79" s="514"/>
      <c r="R79" s="514"/>
      <c r="S79" s="512"/>
      <c r="T79" s="512"/>
      <c r="U79" s="512"/>
      <c r="V79" s="512"/>
    </row>
    <row r="80" spans="3:22" x14ac:dyDescent="0.2">
      <c r="C80" s="512"/>
      <c r="D80" s="512"/>
      <c r="E80" s="512"/>
      <c r="F80" s="512"/>
      <c r="G80" s="512"/>
      <c r="H80" s="512"/>
      <c r="I80" s="517"/>
      <c r="J80" s="512"/>
      <c r="K80" s="512"/>
      <c r="L80" s="512"/>
      <c r="M80" s="512"/>
      <c r="N80" s="514"/>
      <c r="O80" s="514"/>
      <c r="P80" s="514"/>
      <c r="Q80" s="514"/>
      <c r="R80" s="514"/>
      <c r="S80" s="512"/>
      <c r="T80" s="512"/>
      <c r="U80" s="512"/>
      <c r="V80" s="512"/>
    </row>
    <row r="81" spans="3:22" x14ac:dyDescent="0.2">
      <c r="C81" s="512"/>
      <c r="D81" s="512"/>
      <c r="E81" s="512"/>
      <c r="F81" s="512"/>
      <c r="G81" s="512"/>
      <c r="H81" s="512"/>
      <c r="I81" s="517"/>
      <c r="J81" s="512"/>
      <c r="K81" s="512"/>
      <c r="L81" s="512"/>
      <c r="M81" s="512"/>
      <c r="N81" s="514"/>
      <c r="O81" s="514"/>
      <c r="P81" s="514"/>
      <c r="Q81" s="514"/>
      <c r="R81" s="514"/>
      <c r="S81" s="512"/>
      <c r="T81" s="512"/>
      <c r="U81" s="512"/>
      <c r="V81" s="512"/>
    </row>
    <row r="82" spans="3:22" x14ac:dyDescent="0.2">
      <c r="C82" s="512"/>
      <c r="D82" s="512"/>
      <c r="E82" s="512"/>
      <c r="F82" s="512"/>
      <c r="G82" s="512"/>
      <c r="H82" s="512"/>
      <c r="I82" s="517"/>
      <c r="J82" s="512"/>
      <c r="K82" s="512"/>
      <c r="L82" s="512"/>
      <c r="M82" s="512"/>
      <c r="N82" s="514"/>
      <c r="O82" s="514"/>
      <c r="P82" s="514"/>
      <c r="Q82" s="514"/>
      <c r="R82" s="514"/>
      <c r="S82" s="512"/>
      <c r="T82" s="512"/>
      <c r="U82" s="512"/>
      <c r="V82" s="512"/>
    </row>
    <row r="83" spans="3:22" x14ac:dyDescent="0.2">
      <c r="C83" s="512"/>
      <c r="D83" s="512"/>
      <c r="E83" s="512"/>
      <c r="F83" s="512"/>
      <c r="G83" s="512"/>
      <c r="H83" s="512"/>
      <c r="I83" s="517"/>
      <c r="J83" s="512"/>
      <c r="K83" s="512"/>
      <c r="L83" s="512"/>
      <c r="M83" s="512"/>
      <c r="N83" s="514"/>
      <c r="O83" s="514"/>
      <c r="P83" s="514"/>
      <c r="Q83" s="514"/>
      <c r="R83" s="514"/>
      <c r="S83" s="512"/>
      <c r="T83" s="512"/>
      <c r="U83" s="512"/>
      <c r="V83" s="512"/>
    </row>
    <row r="84" spans="3:22" x14ac:dyDescent="0.2">
      <c r="C84" s="512"/>
      <c r="D84" s="512"/>
      <c r="E84" s="512"/>
      <c r="F84" s="512"/>
      <c r="G84" s="512"/>
      <c r="H84" s="512"/>
      <c r="I84" s="517"/>
      <c r="J84" s="512"/>
      <c r="K84" s="512"/>
      <c r="L84" s="512"/>
      <c r="M84" s="512"/>
      <c r="N84" s="514"/>
      <c r="O84" s="514"/>
      <c r="P84" s="514"/>
      <c r="Q84" s="514"/>
      <c r="R84" s="514"/>
      <c r="S84" s="512"/>
      <c r="T84" s="512"/>
      <c r="U84" s="512"/>
      <c r="V84" s="512"/>
    </row>
    <row r="85" spans="3:22" x14ac:dyDescent="0.2">
      <c r="C85" s="512"/>
      <c r="D85" s="512"/>
      <c r="E85" s="512"/>
      <c r="F85" s="512"/>
      <c r="G85" s="512"/>
      <c r="H85" s="512"/>
      <c r="I85" s="517"/>
      <c r="J85" s="512"/>
      <c r="K85" s="512"/>
      <c r="L85" s="512"/>
      <c r="M85" s="512"/>
      <c r="N85" s="514"/>
      <c r="O85" s="514"/>
      <c r="P85" s="514"/>
      <c r="Q85" s="514"/>
      <c r="R85" s="514"/>
      <c r="S85" s="512"/>
      <c r="T85" s="512"/>
      <c r="U85" s="512"/>
      <c r="V85" s="512"/>
    </row>
    <row r="86" spans="3:22" x14ac:dyDescent="0.2">
      <c r="C86" s="512"/>
      <c r="D86" s="512"/>
      <c r="E86" s="512"/>
      <c r="F86" s="512"/>
      <c r="G86" s="512"/>
      <c r="H86" s="512"/>
      <c r="I86" s="517"/>
      <c r="J86" s="512"/>
      <c r="K86" s="512"/>
      <c r="L86" s="512"/>
      <c r="M86" s="512"/>
      <c r="N86" s="514"/>
      <c r="O86" s="514"/>
      <c r="P86" s="514"/>
      <c r="Q86" s="514"/>
      <c r="R86" s="514"/>
      <c r="S86" s="512"/>
      <c r="T86" s="512"/>
      <c r="U86" s="512"/>
      <c r="V86" s="512"/>
    </row>
    <row r="87" spans="3:22" x14ac:dyDescent="0.2">
      <c r="C87" s="512"/>
      <c r="D87" s="512"/>
      <c r="E87" s="512"/>
      <c r="F87" s="512"/>
      <c r="G87" s="512"/>
      <c r="H87" s="512"/>
      <c r="I87" s="517"/>
      <c r="J87" s="512"/>
      <c r="K87" s="512"/>
      <c r="L87" s="512"/>
      <c r="M87" s="512"/>
      <c r="N87" s="514"/>
      <c r="O87" s="514"/>
      <c r="P87" s="514"/>
      <c r="Q87" s="514"/>
      <c r="R87" s="514"/>
      <c r="S87" s="512"/>
      <c r="T87" s="512"/>
      <c r="U87" s="512"/>
      <c r="V87" s="512"/>
    </row>
    <row r="88" spans="3:22" x14ac:dyDescent="0.2">
      <c r="C88" s="512"/>
      <c r="D88" s="512"/>
      <c r="E88" s="512"/>
      <c r="F88" s="512"/>
      <c r="G88" s="512"/>
      <c r="H88" s="512"/>
      <c r="I88" s="517"/>
      <c r="J88" s="512"/>
      <c r="K88" s="512"/>
      <c r="L88" s="512"/>
      <c r="M88" s="512"/>
      <c r="N88" s="514"/>
      <c r="O88" s="514"/>
      <c r="P88" s="514"/>
      <c r="Q88" s="514"/>
      <c r="R88" s="514"/>
      <c r="S88" s="512"/>
      <c r="T88" s="512"/>
      <c r="U88" s="512"/>
      <c r="V88" s="512"/>
    </row>
    <row r="89" spans="3:22" x14ac:dyDescent="0.2">
      <c r="C89" s="512"/>
      <c r="D89" s="512"/>
      <c r="E89" s="512"/>
      <c r="F89" s="512"/>
      <c r="G89" s="512"/>
      <c r="H89" s="512"/>
      <c r="I89" s="517"/>
      <c r="J89" s="512"/>
      <c r="K89" s="512"/>
      <c r="L89" s="512"/>
      <c r="M89" s="512"/>
      <c r="N89" s="514"/>
      <c r="O89" s="514"/>
      <c r="P89" s="514"/>
      <c r="Q89" s="514"/>
      <c r="R89" s="514"/>
      <c r="S89" s="512"/>
      <c r="T89" s="512"/>
      <c r="U89" s="512"/>
      <c r="V89" s="512"/>
    </row>
    <row r="90" spans="3:22" x14ac:dyDescent="0.2">
      <c r="C90" s="512"/>
      <c r="D90" s="512"/>
      <c r="E90" s="512"/>
      <c r="F90" s="512"/>
      <c r="G90" s="512"/>
      <c r="H90" s="512"/>
      <c r="I90" s="517"/>
      <c r="J90" s="512"/>
      <c r="K90" s="512"/>
      <c r="L90" s="512"/>
      <c r="M90" s="512"/>
      <c r="N90" s="514"/>
      <c r="O90" s="514"/>
      <c r="P90" s="514"/>
      <c r="Q90" s="514"/>
      <c r="R90" s="514"/>
      <c r="S90" s="512"/>
      <c r="T90" s="512"/>
      <c r="U90" s="512"/>
      <c r="V90" s="512"/>
    </row>
    <row r="91" spans="3:22" x14ac:dyDescent="0.2">
      <c r="C91" s="512"/>
      <c r="D91" s="512"/>
      <c r="E91" s="512"/>
      <c r="F91" s="512"/>
      <c r="G91" s="512"/>
      <c r="H91" s="512"/>
      <c r="I91" s="517"/>
      <c r="J91" s="512"/>
      <c r="K91" s="512"/>
      <c r="L91" s="512"/>
      <c r="M91" s="512"/>
      <c r="N91" s="514"/>
      <c r="O91" s="514"/>
      <c r="P91" s="514"/>
      <c r="Q91" s="514"/>
      <c r="R91" s="514"/>
      <c r="S91" s="512"/>
      <c r="T91" s="512"/>
      <c r="U91" s="512"/>
      <c r="V91" s="512"/>
    </row>
    <row r="92" spans="3:22" x14ac:dyDescent="0.2">
      <c r="C92" s="512"/>
      <c r="D92" s="512"/>
      <c r="E92" s="512"/>
      <c r="F92" s="512"/>
      <c r="G92" s="512"/>
      <c r="H92" s="512"/>
      <c r="I92" s="517"/>
      <c r="J92" s="512"/>
      <c r="K92" s="512"/>
      <c r="L92" s="512"/>
      <c r="M92" s="512"/>
      <c r="N92" s="514"/>
      <c r="O92" s="514"/>
      <c r="P92" s="514"/>
      <c r="Q92" s="514"/>
      <c r="R92" s="514"/>
      <c r="S92" s="512"/>
      <c r="T92" s="512"/>
      <c r="U92" s="512"/>
      <c r="V92" s="512"/>
    </row>
    <row r="93" spans="3:22" x14ac:dyDescent="0.2">
      <c r="C93" s="512"/>
      <c r="D93" s="512"/>
      <c r="E93" s="512"/>
      <c r="F93" s="512"/>
      <c r="G93" s="512"/>
      <c r="H93" s="512"/>
      <c r="I93" s="517"/>
      <c r="J93" s="512"/>
      <c r="K93" s="512"/>
      <c r="L93" s="512"/>
      <c r="M93" s="512"/>
      <c r="N93" s="514"/>
      <c r="O93" s="514"/>
      <c r="P93" s="514"/>
      <c r="Q93" s="514"/>
      <c r="R93" s="514"/>
      <c r="S93" s="512"/>
      <c r="T93" s="512"/>
      <c r="U93" s="512"/>
      <c r="V93" s="512"/>
    </row>
    <row r="94" spans="3:22" x14ac:dyDescent="0.2">
      <c r="C94" s="512"/>
      <c r="D94" s="512"/>
      <c r="E94" s="512"/>
      <c r="F94" s="512"/>
      <c r="G94" s="512"/>
      <c r="H94" s="512"/>
      <c r="I94" s="517"/>
      <c r="J94" s="512"/>
      <c r="K94" s="512"/>
      <c r="L94" s="512"/>
      <c r="M94" s="512"/>
      <c r="N94" s="514"/>
      <c r="O94" s="514"/>
      <c r="P94" s="514"/>
      <c r="Q94" s="514"/>
      <c r="R94" s="514"/>
      <c r="S94" s="512"/>
      <c r="T94" s="512"/>
      <c r="U94" s="512"/>
      <c r="V94" s="512"/>
    </row>
    <row r="95" spans="3:22" x14ac:dyDescent="0.2">
      <c r="C95" s="512"/>
      <c r="D95" s="512"/>
      <c r="E95" s="512"/>
      <c r="F95" s="512"/>
      <c r="G95" s="512"/>
      <c r="H95" s="512"/>
      <c r="I95" s="517"/>
      <c r="J95" s="512"/>
      <c r="K95" s="512"/>
      <c r="L95" s="512"/>
      <c r="M95" s="512"/>
      <c r="N95" s="514"/>
      <c r="O95" s="514"/>
      <c r="P95" s="514"/>
      <c r="Q95" s="514"/>
      <c r="R95" s="514"/>
      <c r="S95" s="512"/>
      <c r="T95" s="512"/>
      <c r="U95" s="512"/>
      <c r="V95" s="512"/>
    </row>
    <row r="96" spans="3:22" x14ac:dyDescent="0.2">
      <c r="C96" s="512"/>
      <c r="D96" s="512"/>
      <c r="E96" s="512"/>
      <c r="F96" s="512"/>
      <c r="G96" s="512"/>
      <c r="H96" s="512"/>
      <c r="I96" s="517"/>
      <c r="J96" s="512"/>
      <c r="K96" s="512"/>
      <c r="L96" s="512"/>
      <c r="M96" s="512"/>
      <c r="N96" s="514"/>
      <c r="O96" s="514"/>
      <c r="P96" s="514"/>
      <c r="Q96" s="514"/>
      <c r="R96" s="514"/>
      <c r="S96" s="512"/>
      <c r="T96" s="512"/>
      <c r="U96" s="512"/>
      <c r="V96" s="512"/>
    </row>
    <row r="97" spans="3:22" x14ac:dyDescent="0.2">
      <c r="C97" s="512"/>
      <c r="D97" s="512"/>
      <c r="E97" s="512"/>
      <c r="F97" s="512"/>
      <c r="G97" s="512"/>
      <c r="H97" s="512"/>
      <c r="I97" s="517"/>
      <c r="J97" s="512"/>
      <c r="K97" s="512"/>
      <c r="L97" s="512"/>
      <c r="M97" s="512"/>
      <c r="N97" s="514"/>
      <c r="O97" s="514"/>
      <c r="P97" s="514"/>
      <c r="Q97" s="514"/>
      <c r="R97" s="514"/>
      <c r="S97" s="512"/>
      <c r="T97" s="512"/>
      <c r="U97" s="512"/>
      <c r="V97" s="512"/>
    </row>
    <row r="98" spans="3:22" x14ac:dyDescent="0.2">
      <c r="C98" s="512"/>
      <c r="D98" s="512"/>
      <c r="E98" s="512"/>
      <c r="F98" s="512"/>
      <c r="G98" s="512"/>
      <c r="H98" s="512"/>
      <c r="I98" s="517"/>
      <c r="J98" s="512"/>
      <c r="K98" s="512"/>
      <c r="L98" s="512"/>
      <c r="M98" s="512"/>
      <c r="N98" s="514"/>
      <c r="O98" s="514"/>
      <c r="P98" s="514"/>
      <c r="Q98" s="514"/>
      <c r="R98" s="514"/>
      <c r="S98" s="512"/>
      <c r="T98" s="512"/>
      <c r="U98" s="512"/>
      <c r="V98" s="512"/>
    </row>
    <row r="99" spans="3:22" x14ac:dyDescent="0.2">
      <c r="C99" s="512"/>
      <c r="D99" s="512"/>
      <c r="E99" s="512"/>
      <c r="F99" s="512"/>
      <c r="G99" s="512"/>
      <c r="H99" s="512"/>
      <c r="I99" s="517"/>
      <c r="J99" s="512"/>
      <c r="K99" s="512"/>
      <c r="L99" s="512"/>
      <c r="M99" s="512"/>
      <c r="N99" s="514"/>
      <c r="O99" s="514"/>
      <c r="P99" s="514"/>
      <c r="Q99" s="514"/>
      <c r="R99" s="514"/>
      <c r="S99" s="512"/>
      <c r="T99" s="512"/>
      <c r="U99" s="512"/>
      <c r="V99" s="512"/>
    </row>
    <row r="100" spans="3:22" x14ac:dyDescent="0.2">
      <c r="C100" s="512"/>
      <c r="D100" s="512"/>
      <c r="E100" s="512"/>
      <c r="F100" s="512"/>
      <c r="G100" s="512"/>
      <c r="H100" s="512"/>
      <c r="I100" s="517"/>
      <c r="J100" s="512"/>
      <c r="K100" s="512"/>
      <c r="L100" s="512"/>
      <c r="M100" s="512"/>
      <c r="N100" s="514"/>
      <c r="O100" s="514"/>
      <c r="P100" s="514"/>
      <c r="Q100" s="514"/>
      <c r="R100" s="514"/>
      <c r="S100" s="512"/>
      <c r="T100" s="512"/>
      <c r="U100" s="512"/>
      <c r="V100" s="512"/>
    </row>
    <row r="101" spans="3:22" x14ac:dyDescent="0.2">
      <c r="C101" s="512"/>
      <c r="D101" s="512"/>
      <c r="E101" s="512"/>
      <c r="F101" s="512"/>
      <c r="G101" s="512"/>
      <c r="H101" s="512"/>
      <c r="I101" s="517"/>
      <c r="J101" s="512"/>
      <c r="K101" s="512"/>
      <c r="L101" s="512"/>
      <c r="M101" s="512"/>
      <c r="N101" s="514"/>
      <c r="O101" s="514"/>
      <c r="P101" s="514"/>
      <c r="Q101" s="514"/>
      <c r="R101" s="514"/>
      <c r="S101" s="512"/>
      <c r="T101" s="512"/>
      <c r="U101" s="512"/>
      <c r="V101" s="512"/>
    </row>
    <row r="102" spans="3:22" x14ac:dyDescent="0.2">
      <c r="C102" s="512"/>
      <c r="D102" s="512"/>
      <c r="E102" s="512"/>
      <c r="F102" s="512"/>
      <c r="G102" s="512"/>
      <c r="H102" s="512"/>
      <c r="I102" s="517"/>
      <c r="J102" s="512"/>
      <c r="K102" s="512"/>
      <c r="L102" s="512"/>
      <c r="M102" s="512"/>
      <c r="N102" s="514"/>
      <c r="O102" s="514"/>
      <c r="P102" s="514"/>
      <c r="Q102" s="514"/>
      <c r="R102" s="514"/>
      <c r="S102" s="512"/>
      <c r="T102" s="512"/>
      <c r="U102" s="512"/>
      <c r="V102" s="512"/>
    </row>
    <row r="103" spans="3:22" x14ac:dyDescent="0.2">
      <c r="C103" s="512"/>
      <c r="D103" s="512"/>
      <c r="E103" s="512"/>
      <c r="F103" s="512"/>
      <c r="G103" s="512"/>
      <c r="H103" s="512"/>
      <c r="I103" s="517"/>
      <c r="J103" s="512"/>
      <c r="K103" s="512"/>
      <c r="L103" s="512"/>
      <c r="M103" s="512"/>
      <c r="N103" s="514"/>
      <c r="O103" s="514"/>
      <c r="P103" s="514"/>
      <c r="Q103" s="514"/>
      <c r="R103" s="514"/>
      <c r="S103" s="512"/>
      <c r="T103" s="512"/>
      <c r="U103" s="512"/>
      <c r="V103" s="512"/>
    </row>
    <row r="104" spans="3:22" x14ac:dyDescent="0.2">
      <c r="C104" s="512"/>
      <c r="D104" s="512"/>
      <c r="E104" s="512"/>
      <c r="F104" s="512"/>
      <c r="G104" s="512"/>
      <c r="H104" s="512"/>
      <c r="I104" s="517"/>
      <c r="J104" s="512"/>
      <c r="K104" s="512"/>
      <c r="L104" s="512"/>
      <c r="M104" s="512"/>
      <c r="N104" s="514"/>
      <c r="O104" s="514"/>
      <c r="P104" s="514"/>
      <c r="Q104" s="514"/>
      <c r="R104" s="514"/>
      <c r="S104" s="512"/>
      <c r="T104" s="512"/>
      <c r="U104" s="512"/>
      <c r="V104" s="512"/>
    </row>
    <row r="105" spans="3:22" x14ac:dyDescent="0.2">
      <c r="C105" s="512"/>
      <c r="D105" s="512"/>
      <c r="E105" s="512"/>
      <c r="F105" s="512"/>
      <c r="G105" s="512"/>
      <c r="H105" s="512"/>
      <c r="I105" s="517"/>
      <c r="J105" s="512"/>
      <c r="K105" s="512"/>
      <c r="L105" s="512"/>
      <c r="M105" s="512"/>
      <c r="N105" s="514"/>
      <c r="O105" s="514"/>
      <c r="P105" s="514"/>
      <c r="Q105" s="514"/>
      <c r="R105" s="514"/>
      <c r="S105" s="512"/>
      <c r="T105" s="512"/>
      <c r="U105" s="512"/>
      <c r="V105" s="512"/>
    </row>
    <row r="106" spans="3:22" x14ac:dyDescent="0.2">
      <c r="C106" s="512"/>
      <c r="D106" s="512"/>
      <c r="E106" s="512"/>
      <c r="F106" s="512"/>
      <c r="G106" s="512"/>
      <c r="H106" s="512"/>
      <c r="I106" s="517"/>
      <c r="J106" s="512"/>
      <c r="K106" s="512"/>
      <c r="L106" s="512"/>
      <c r="M106" s="512"/>
      <c r="N106" s="514"/>
      <c r="O106" s="514"/>
      <c r="P106" s="514"/>
      <c r="Q106" s="514"/>
      <c r="R106" s="514"/>
      <c r="S106" s="512"/>
      <c r="T106" s="512"/>
      <c r="U106" s="512"/>
      <c r="V106" s="512"/>
    </row>
    <row r="107" spans="3:22" x14ac:dyDescent="0.2">
      <c r="C107" s="512"/>
      <c r="D107" s="512"/>
      <c r="E107" s="512"/>
      <c r="F107" s="512"/>
      <c r="G107" s="512"/>
      <c r="H107" s="512"/>
      <c r="I107" s="517"/>
      <c r="J107" s="512"/>
      <c r="K107" s="512"/>
      <c r="L107" s="512"/>
      <c r="M107" s="512"/>
      <c r="N107" s="514"/>
      <c r="O107" s="514"/>
      <c r="P107" s="514"/>
      <c r="Q107" s="514"/>
      <c r="R107" s="514"/>
      <c r="S107" s="512"/>
      <c r="T107" s="512"/>
      <c r="U107" s="512"/>
      <c r="V107" s="512"/>
    </row>
    <row r="108" spans="3:22" x14ac:dyDescent="0.2">
      <c r="C108" s="512"/>
      <c r="D108" s="512"/>
      <c r="E108" s="512"/>
      <c r="F108" s="512"/>
      <c r="G108" s="512"/>
      <c r="H108" s="512"/>
      <c r="I108" s="517"/>
      <c r="J108" s="512"/>
      <c r="K108" s="512"/>
      <c r="L108" s="512"/>
      <c r="M108" s="512"/>
      <c r="N108" s="514"/>
      <c r="O108" s="514"/>
      <c r="P108" s="514"/>
      <c r="Q108" s="514"/>
      <c r="R108" s="514"/>
      <c r="S108" s="512"/>
      <c r="T108" s="512"/>
      <c r="U108" s="512"/>
      <c r="V108" s="512"/>
    </row>
    <row r="109" spans="3:22" x14ac:dyDescent="0.2">
      <c r="C109" s="512"/>
      <c r="D109" s="512"/>
      <c r="E109" s="512"/>
      <c r="F109" s="512"/>
      <c r="G109" s="512"/>
      <c r="H109" s="512"/>
      <c r="I109" s="517"/>
      <c r="J109" s="512"/>
      <c r="K109" s="512"/>
      <c r="L109" s="512"/>
      <c r="M109" s="512"/>
      <c r="N109" s="514"/>
      <c r="O109" s="514"/>
      <c r="P109" s="514"/>
      <c r="Q109" s="514"/>
      <c r="R109" s="514"/>
      <c r="S109" s="512"/>
      <c r="T109" s="512"/>
      <c r="U109" s="512"/>
      <c r="V109" s="512"/>
    </row>
    <row r="110" spans="3:22" x14ac:dyDescent="0.2">
      <c r="C110" s="512"/>
      <c r="D110" s="512"/>
      <c r="E110" s="512"/>
      <c r="F110" s="512"/>
      <c r="G110" s="512"/>
      <c r="H110" s="512"/>
      <c r="I110" s="517"/>
      <c r="J110" s="512"/>
      <c r="K110" s="512"/>
      <c r="L110" s="512"/>
      <c r="M110" s="512"/>
      <c r="N110" s="514"/>
      <c r="O110" s="514"/>
      <c r="P110" s="514"/>
      <c r="Q110" s="514"/>
      <c r="R110" s="514"/>
      <c r="S110" s="512"/>
      <c r="T110" s="512"/>
      <c r="U110" s="512"/>
      <c r="V110" s="512"/>
    </row>
    <row r="111" spans="3:22" x14ac:dyDescent="0.2">
      <c r="C111" s="512"/>
      <c r="D111" s="512"/>
      <c r="E111" s="512"/>
      <c r="F111" s="512"/>
      <c r="G111" s="512"/>
      <c r="H111" s="512"/>
      <c r="I111" s="517"/>
      <c r="J111" s="512"/>
      <c r="K111" s="512"/>
      <c r="L111" s="512"/>
      <c r="M111" s="512"/>
      <c r="N111" s="514"/>
      <c r="O111" s="514"/>
      <c r="P111" s="514"/>
      <c r="Q111" s="514"/>
      <c r="R111" s="514"/>
      <c r="S111" s="512"/>
      <c r="T111" s="512"/>
      <c r="U111" s="512"/>
      <c r="V111" s="512"/>
    </row>
    <row r="112" spans="3:22" x14ac:dyDescent="0.2">
      <c r="C112" s="512"/>
      <c r="D112" s="512"/>
      <c r="E112" s="512"/>
      <c r="F112" s="512"/>
      <c r="G112" s="512"/>
      <c r="H112" s="512"/>
      <c r="I112" s="517"/>
      <c r="J112" s="512"/>
      <c r="K112" s="512"/>
      <c r="L112" s="512"/>
      <c r="M112" s="512"/>
      <c r="N112" s="514"/>
      <c r="O112" s="514"/>
      <c r="P112" s="514"/>
      <c r="Q112" s="514"/>
      <c r="R112" s="514"/>
      <c r="S112" s="512"/>
      <c r="T112" s="512"/>
      <c r="U112" s="512"/>
      <c r="V112" s="512"/>
    </row>
    <row r="113" spans="3:22" x14ac:dyDescent="0.2">
      <c r="C113" s="512"/>
      <c r="D113" s="512"/>
      <c r="E113" s="512"/>
      <c r="F113" s="512"/>
      <c r="G113" s="512"/>
      <c r="H113" s="512"/>
      <c r="I113" s="517"/>
      <c r="J113" s="512"/>
      <c r="K113" s="512"/>
      <c r="L113" s="512"/>
      <c r="M113" s="512"/>
      <c r="N113" s="514"/>
      <c r="O113" s="514"/>
      <c r="P113" s="514"/>
      <c r="Q113" s="514"/>
      <c r="R113" s="514"/>
      <c r="S113" s="512"/>
      <c r="T113" s="512"/>
      <c r="U113" s="512"/>
      <c r="V113" s="512"/>
    </row>
    <row r="114" spans="3:22" x14ac:dyDescent="0.2">
      <c r="C114" s="512"/>
      <c r="D114" s="512"/>
      <c r="E114" s="512"/>
      <c r="F114" s="512"/>
      <c r="G114" s="512"/>
      <c r="H114" s="512"/>
      <c r="I114" s="517"/>
      <c r="J114" s="512"/>
      <c r="K114" s="512"/>
      <c r="L114" s="512"/>
      <c r="M114" s="512"/>
      <c r="N114" s="514"/>
      <c r="O114" s="514"/>
      <c r="P114" s="514"/>
      <c r="Q114" s="514"/>
      <c r="R114" s="514"/>
      <c r="S114" s="512"/>
      <c r="T114" s="512"/>
      <c r="U114" s="512"/>
      <c r="V114" s="512"/>
    </row>
    <row r="115" spans="3:22" x14ac:dyDescent="0.2">
      <c r="C115" s="512"/>
      <c r="D115" s="512"/>
      <c r="E115" s="512"/>
      <c r="F115" s="512"/>
      <c r="G115" s="512"/>
      <c r="H115" s="512"/>
      <c r="I115" s="517"/>
      <c r="J115" s="512"/>
      <c r="K115" s="512"/>
      <c r="L115" s="512"/>
      <c r="M115" s="512"/>
      <c r="N115" s="514"/>
      <c r="O115" s="514"/>
      <c r="P115" s="514"/>
      <c r="Q115" s="514"/>
      <c r="R115" s="514"/>
      <c r="S115" s="512"/>
      <c r="T115" s="512"/>
      <c r="U115" s="512"/>
      <c r="V115" s="512"/>
    </row>
    <row r="116" spans="3:22" x14ac:dyDescent="0.2">
      <c r="C116" s="512"/>
      <c r="D116" s="512"/>
      <c r="E116" s="512"/>
      <c r="F116" s="512"/>
      <c r="G116" s="512"/>
      <c r="H116" s="512"/>
      <c r="I116" s="517"/>
      <c r="J116" s="512"/>
      <c r="K116" s="512"/>
      <c r="L116" s="512"/>
      <c r="M116" s="512"/>
      <c r="N116" s="514"/>
      <c r="O116" s="514"/>
      <c r="P116" s="514"/>
      <c r="Q116" s="514"/>
      <c r="R116" s="514"/>
      <c r="S116" s="512"/>
      <c r="T116" s="512"/>
      <c r="U116" s="512"/>
      <c r="V116" s="512"/>
    </row>
    <row r="117" spans="3:22" x14ac:dyDescent="0.2">
      <c r="C117" s="512"/>
      <c r="D117" s="512"/>
      <c r="E117" s="512"/>
      <c r="F117" s="512"/>
      <c r="G117" s="512"/>
      <c r="H117" s="512"/>
      <c r="I117" s="517"/>
      <c r="J117" s="512"/>
      <c r="K117" s="512"/>
      <c r="L117" s="512"/>
      <c r="M117" s="512"/>
      <c r="N117" s="514"/>
      <c r="O117" s="514"/>
      <c r="P117" s="514"/>
      <c r="Q117" s="514"/>
      <c r="R117" s="514"/>
      <c r="S117" s="512"/>
      <c r="T117" s="512"/>
      <c r="U117" s="512"/>
      <c r="V117" s="512"/>
    </row>
    <row r="118" spans="3:22" x14ac:dyDescent="0.2">
      <c r="C118" s="512"/>
      <c r="D118" s="512"/>
      <c r="E118" s="512"/>
      <c r="F118" s="512"/>
      <c r="G118" s="512"/>
      <c r="H118" s="512"/>
      <c r="I118" s="517"/>
      <c r="J118" s="512"/>
      <c r="K118" s="512"/>
      <c r="L118" s="512"/>
      <c r="M118" s="512"/>
      <c r="N118" s="514"/>
      <c r="O118" s="514"/>
      <c r="P118" s="514"/>
      <c r="Q118" s="514"/>
      <c r="R118" s="514"/>
      <c r="S118" s="512"/>
      <c r="T118" s="512"/>
      <c r="U118" s="512"/>
      <c r="V118" s="512"/>
    </row>
    <row r="119" spans="3:22" x14ac:dyDescent="0.2">
      <c r="C119" s="512"/>
      <c r="D119" s="512"/>
      <c r="E119" s="512"/>
      <c r="F119" s="512"/>
      <c r="G119" s="512"/>
      <c r="H119" s="512"/>
      <c r="I119" s="517"/>
      <c r="J119" s="512"/>
      <c r="K119" s="512"/>
      <c r="L119" s="512"/>
      <c r="M119" s="512"/>
      <c r="N119" s="514"/>
      <c r="O119" s="514"/>
      <c r="P119" s="514"/>
      <c r="Q119" s="514"/>
      <c r="R119" s="514"/>
      <c r="S119" s="512"/>
      <c r="T119" s="512"/>
      <c r="U119" s="512"/>
      <c r="V119" s="512"/>
    </row>
    <row r="120" spans="3:22" x14ac:dyDescent="0.2">
      <c r="C120" s="512"/>
      <c r="D120" s="512"/>
      <c r="E120" s="512"/>
      <c r="F120" s="512"/>
      <c r="G120" s="512"/>
      <c r="H120" s="512"/>
      <c r="I120" s="517"/>
      <c r="J120" s="512"/>
      <c r="K120" s="512"/>
      <c r="L120" s="512"/>
      <c r="M120" s="512"/>
      <c r="N120" s="514"/>
      <c r="O120" s="514"/>
      <c r="P120" s="514"/>
      <c r="Q120" s="514"/>
      <c r="R120" s="514"/>
      <c r="S120" s="512"/>
      <c r="T120" s="512"/>
      <c r="U120" s="512"/>
      <c r="V120" s="512"/>
    </row>
    <row r="121" spans="3:22" x14ac:dyDescent="0.2">
      <c r="C121" s="512"/>
      <c r="D121" s="512"/>
      <c r="E121" s="512"/>
      <c r="F121" s="512"/>
      <c r="G121" s="512"/>
      <c r="H121" s="512"/>
      <c r="I121" s="517"/>
      <c r="J121" s="512"/>
      <c r="K121" s="512"/>
      <c r="L121" s="512"/>
      <c r="M121" s="512"/>
      <c r="N121" s="514"/>
      <c r="O121" s="514"/>
      <c r="P121" s="514"/>
      <c r="Q121" s="514"/>
      <c r="R121" s="514"/>
      <c r="S121" s="512"/>
      <c r="T121" s="512"/>
      <c r="U121" s="512"/>
      <c r="V121" s="512"/>
    </row>
    <row r="122" spans="3:22" x14ac:dyDescent="0.2">
      <c r="C122" s="512"/>
      <c r="D122" s="512"/>
      <c r="E122" s="512"/>
      <c r="F122" s="512"/>
      <c r="G122" s="512"/>
      <c r="H122" s="512"/>
      <c r="I122" s="517"/>
      <c r="J122" s="512"/>
      <c r="K122" s="512"/>
      <c r="L122" s="512"/>
      <c r="M122" s="512"/>
      <c r="N122" s="514"/>
      <c r="O122" s="514"/>
      <c r="P122" s="514"/>
      <c r="Q122" s="514"/>
      <c r="R122" s="514"/>
      <c r="S122" s="512"/>
      <c r="T122" s="512"/>
      <c r="U122" s="512"/>
      <c r="V122" s="512"/>
    </row>
    <row r="123" spans="3:22" x14ac:dyDescent="0.2">
      <c r="C123" s="512"/>
      <c r="D123" s="512"/>
      <c r="E123" s="512"/>
      <c r="F123" s="512"/>
      <c r="G123" s="512"/>
      <c r="H123" s="512"/>
      <c r="I123" s="517"/>
      <c r="J123" s="512"/>
      <c r="K123" s="512"/>
      <c r="L123" s="512"/>
      <c r="M123" s="512"/>
      <c r="N123" s="514"/>
      <c r="O123" s="514"/>
      <c r="P123" s="514"/>
      <c r="Q123" s="514"/>
      <c r="R123" s="514"/>
      <c r="S123" s="512"/>
      <c r="T123" s="512"/>
      <c r="U123" s="512"/>
      <c r="V123" s="512"/>
    </row>
    <row r="124" spans="3:22" x14ac:dyDescent="0.2">
      <c r="C124" s="512"/>
      <c r="D124" s="512"/>
      <c r="E124" s="512"/>
      <c r="F124" s="512"/>
      <c r="G124" s="512"/>
      <c r="H124" s="512"/>
      <c r="I124" s="517"/>
      <c r="J124" s="512"/>
      <c r="K124" s="512"/>
      <c r="L124" s="512"/>
      <c r="M124" s="512"/>
      <c r="N124" s="514"/>
      <c r="O124" s="514"/>
      <c r="P124" s="514"/>
      <c r="Q124" s="514"/>
      <c r="R124" s="514"/>
      <c r="S124" s="512"/>
      <c r="T124" s="512"/>
      <c r="U124" s="512"/>
      <c r="V124" s="512"/>
    </row>
    <row r="125" spans="3:22" x14ac:dyDescent="0.2">
      <c r="C125" s="512"/>
      <c r="D125" s="512"/>
      <c r="E125" s="512"/>
      <c r="F125" s="512"/>
      <c r="G125" s="512"/>
      <c r="H125" s="512"/>
      <c r="I125" s="517"/>
      <c r="J125" s="512"/>
      <c r="K125" s="512"/>
      <c r="L125" s="512"/>
      <c r="M125" s="512"/>
      <c r="N125" s="514"/>
      <c r="O125" s="514"/>
      <c r="P125" s="514"/>
      <c r="Q125" s="514"/>
      <c r="R125" s="514"/>
      <c r="S125" s="512"/>
      <c r="T125" s="512"/>
      <c r="U125" s="512"/>
      <c r="V125" s="512"/>
    </row>
    <row r="126" spans="3:22" x14ac:dyDescent="0.2">
      <c r="C126" s="512"/>
      <c r="D126" s="512"/>
      <c r="E126" s="512"/>
      <c r="F126" s="512"/>
      <c r="G126" s="512"/>
      <c r="H126" s="512"/>
      <c r="I126" s="517"/>
      <c r="J126" s="512"/>
      <c r="K126" s="512"/>
      <c r="L126" s="512"/>
      <c r="M126" s="512"/>
      <c r="N126" s="514"/>
      <c r="O126" s="514"/>
      <c r="P126" s="514"/>
      <c r="Q126" s="514"/>
      <c r="R126" s="514"/>
      <c r="S126" s="512"/>
      <c r="T126" s="512"/>
      <c r="U126" s="512"/>
      <c r="V126" s="512"/>
    </row>
    <row r="127" spans="3:22" x14ac:dyDescent="0.2">
      <c r="C127" s="512"/>
      <c r="D127" s="512"/>
      <c r="E127" s="512"/>
      <c r="F127" s="512"/>
      <c r="G127" s="512"/>
      <c r="H127" s="512"/>
      <c r="I127" s="517"/>
      <c r="J127" s="512"/>
      <c r="K127" s="512"/>
      <c r="L127" s="512"/>
      <c r="M127" s="512"/>
      <c r="N127" s="514"/>
      <c r="O127" s="514"/>
      <c r="P127" s="514"/>
      <c r="Q127" s="514"/>
      <c r="R127" s="514"/>
      <c r="S127" s="512"/>
      <c r="T127" s="512"/>
      <c r="U127" s="512"/>
      <c r="V127" s="512"/>
    </row>
    <row r="128" spans="3:22" x14ac:dyDescent="0.2">
      <c r="C128" s="512"/>
      <c r="D128" s="512"/>
      <c r="E128" s="512"/>
      <c r="F128" s="512"/>
      <c r="G128" s="512"/>
      <c r="H128" s="512"/>
      <c r="I128" s="517"/>
      <c r="J128" s="512"/>
      <c r="K128" s="512"/>
      <c r="L128" s="512"/>
      <c r="M128" s="512"/>
      <c r="N128" s="514"/>
      <c r="O128" s="514"/>
      <c r="P128" s="514"/>
      <c r="Q128" s="514"/>
      <c r="R128" s="514"/>
      <c r="S128" s="512"/>
      <c r="T128" s="512"/>
      <c r="U128" s="512"/>
      <c r="V128" s="512"/>
    </row>
    <row r="129" spans="3:22" x14ac:dyDescent="0.2">
      <c r="C129" s="512"/>
      <c r="D129" s="512"/>
      <c r="E129" s="512"/>
      <c r="F129" s="512"/>
      <c r="G129" s="512"/>
      <c r="H129" s="512"/>
      <c r="I129" s="517"/>
      <c r="J129" s="512"/>
      <c r="K129" s="512"/>
      <c r="L129" s="512"/>
      <c r="M129" s="512"/>
      <c r="N129" s="514"/>
      <c r="O129" s="514"/>
      <c r="P129" s="514"/>
      <c r="Q129" s="514"/>
      <c r="R129" s="514"/>
      <c r="S129" s="512"/>
      <c r="T129" s="512"/>
      <c r="U129" s="512"/>
      <c r="V129" s="512"/>
    </row>
    <row r="130" spans="3:22" x14ac:dyDescent="0.2">
      <c r="C130" s="512"/>
      <c r="D130" s="512"/>
      <c r="E130" s="512"/>
      <c r="F130" s="512"/>
      <c r="G130" s="512"/>
      <c r="H130" s="512"/>
      <c r="I130" s="517"/>
      <c r="J130" s="512"/>
      <c r="K130" s="512"/>
      <c r="L130" s="512"/>
      <c r="M130" s="512"/>
      <c r="N130" s="514"/>
      <c r="O130" s="514"/>
      <c r="P130" s="514"/>
      <c r="Q130" s="514"/>
      <c r="R130" s="514"/>
      <c r="S130" s="512"/>
      <c r="T130" s="512"/>
      <c r="U130" s="512"/>
      <c r="V130" s="512"/>
    </row>
    <row r="131" spans="3:22" x14ac:dyDescent="0.2">
      <c r="C131" s="512"/>
      <c r="D131" s="512"/>
      <c r="E131" s="512"/>
      <c r="F131" s="512"/>
      <c r="G131" s="512"/>
      <c r="H131" s="512"/>
      <c r="I131" s="517"/>
      <c r="J131" s="512"/>
      <c r="K131" s="512"/>
      <c r="L131" s="512"/>
      <c r="M131" s="512"/>
      <c r="N131" s="514"/>
      <c r="O131" s="514"/>
      <c r="P131" s="514"/>
      <c r="Q131" s="514"/>
      <c r="R131" s="514"/>
      <c r="S131" s="512"/>
      <c r="T131" s="512"/>
      <c r="U131" s="512"/>
      <c r="V131" s="512"/>
    </row>
    <row r="132" spans="3:22" x14ac:dyDescent="0.2">
      <c r="C132" s="512"/>
      <c r="D132" s="512"/>
      <c r="E132" s="512"/>
      <c r="F132" s="512"/>
      <c r="G132" s="512"/>
      <c r="H132" s="512"/>
      <c r="I132" s="517"/>
      <c r="J132" s="512"/>
      <c r="K132" s="512"/>
      <c r="L132" s="512"/>
      <c r="M132" s="512"/>
      <c r="N132" s="514"/>
      <c r="O132" s="514"/>
      <c r="P132" s="514"/>
      <c r="Q132" s="514"/>
      <c r="R132" s="514"/>
      <c r="S132" s="512"/>
      <c r="T132" s="512"/>
      <c r="U132" s="512"/>
      <c r="V132" s="512"/>
    </row>
    <row r="133" spans="3:22" x14ac:dyDescent="0.2">
      <c r="C133" s="512"/>
      <c r="D133" s="512"/>
      <c r="E133" s="512"/>
      <c r="F133" s="512"/>
      <c r="G133" s="512"/>
      <c r="H133" s="512"/>
      <c r="I133" s="517"/>
      <c r="J133" s="512"/>
      <c r="K133" s="512"/>
      <c r="L133" s="512"/>
      <c r="M133" s="512"/>
      <c r="N133" s="514"/>
      <c r="O133" s="514"/>
      <c r="P133" s="514"/>
      <c r="Q133" s="514"/>
      <c r="R133" s="514"/>
      <c r="S133" s="512"/>
      <c r="T133" s="512"/>
      <c r="U133" s="512"/>
      <c r="V133" s="512"/>
    </row>
    <row r="134" spans="3:22" x14ac:dyDescent="0.2">
      <c r="C134" s="512"/>
      <c r="D134" s="512"/>
      <c r="E134" s="512"/>
      <c r="F134" s="512"/>
      <c r="G134" s="512"/>
      <c r="H134" s="512"/>
      <c r="I134" s="517"/>
      <c r="J134" s="512"/>
      <c r="K134" s="512"/>
      <c r="L134" s="512"/>
      <c r="M134" s="512"/>
      <c r="N134" s="514"/>
      <c r="O134" s="514"/>
      <c r="P134" s="514"/>
      <c r="Q134" s="514"/>
      <c r="R134" s="514"/>
      <c r="S134" s="512"/>
      <c r="T134" s="512"/>
      <c r="U134" s="512"/>
      <c r="V134" s="512"/>
    </row>
    <row r="135" spans="3:22" x14ac:dyDescent="0.2">
      <c r="C135" s="512"/>
      <c r="D135" s="512"/>
      <c r="E135" s="512"/>
      <c r="F135" s="512"/>
      <c r="G135" s="512"/>
      <c r="H135" s="512"/>
      <c r="I135" s="517"/>
      <c r="J135" s="512"/>
      <c r="K135" s="512"/>
      <c r="L135" s="512"/>
      <c r="M135" s="512"/>
      <c r="N135" s="514"/>
      <c r="O135" s="514"/>
      <c r="P135" s="514"/>
      <c r="Q135" s="514"/>
      <c r="R135" s="514"/>
      <c r="S135" s="512"/>
      <c r="T135" s="512"/>
      <c r="U135" s="512"/>
      <c r="V135" s="512"/>
    </row>
    <row r="136" spans="3:22" x14ac:dyDescent="0.2">
      <c r="C136" s="512"/>
      <c r="D136" s="512"/>
      <c r="E136" s="512"/>
      <c r="F136" s="512"/>
      <c r="G136" s="512"/>
      <c r="H136" s="512"/>
      <c r="I136" s="517"/>
      <c r="J136" s="512"/>
      <c r="K136" s="512"/>
      <c r="L136" s="512"/>
      <c r="M136" s="512"/>
      <c r="N136" s="514"/>
      <c r="O136" s="514"/>
      <c r="P136" s="514"/>
      <c r="Q136" s="514"/>
      <c r="R136" s="514"/>
      <c r="S136" s="512"/>
      <c r="T136" s="512"/>
      <c r="U136" s="512"/>
      <c r="V136" s="512"/>
    </row>
    <row r="137" spans="3:22" x14ac:dyDescent="0.2">
      <c r="C137" s="512"/>
      <c r="D137" s="512"/>
      <c r="E137" s="512"/>
      <c r="F137" s="512"/>
      <c r="G137" s="512"/>
      <c r="H137" s="512"/>
      <c r="I137" s="517"/>
      <c r="J137" s="512"/>
      <c r="K137" s="512"/>
      <c r="L137" s="512"/>
      <c r="M137" s="512"/>
      <c r="N137" s="514"/>
      <c r="O137" s="514"/>
      <c r="P137" s="514"/>
      <c r="Q137" s="514"/>
      <c r="R137" s="514"/>
      <c r="S137" s="512"/>
      <c r="T137" s="512"/>
      <c r="U137" s="512"/>
      <c r="V137" s="512"/>
    </row>
    <row r="138" spans="3:22" x14ac:dyDescent="0.2">
      <c r="C138" s="512"/>
      <c r="D138" s="512"/>
      <c r="E138" s="512"/>
      <c r="F138" s="512"/>
      <c r="G138" s="512"/>
      <c r="H138" s="512"/>
      <c r="I138" s="517"/>
      <c r="J138" s="512"/>
      <c r="K138" s="512"/>
      <c r="L138" s="512"/>
      <c r="M138" s="512"/>
      <c r="N138" s="514"/>
      <c r="O138" s="514"/>
      <c r="P138" s="514"/>
      <c r="Q138" s="514"/>
      <c r="R138" s="514"/>
      <c r="S138" s="512"/>
      <c r="T138" s="512"/>
      <c r="U138" s="512"/>
      <c r="V138" s="512"/>
    </row>
    <row r="139" spans="3:22" x14ac:dyDescent="0.2">
      <c r="C139" s="512"/>
      <c r="D139" s="512"/>
      <c r="E139" s="512"/>
      <c r="F139" s="512"/>
      <c r="G139" s="512"/>
      <c r="H139" s="512"/>
      <c r="I139" s="517"/>
      <c r="J139" s="512"/>
      <c r="K139" s="512"/>
      <c r="L139" s="512"/>
      <c r="M139" s="512"/>
      <c r="N139" s="514"/>
      <c r="O139" s="514"/>
      <c r="P139" s="514"/>
      <c r="Q139" s="514"/>
      <c r="R139" s="514"/>
      <c r="S139" s="512"/>
      <c r="T139" s="512"/>
      <c r="U139" s="512"/>
      <c r="V139" s="512"/>
    </row>
    <row r="140" spans="3:22" x14ac:dyDescent="0.2">
      <c r="C140" s="512"/>
      <c r="D140" s="512"/>
      <c r="E140" s="512"/>
      <c r="F140" s="512"/>
      <c r="G140" s="512"/>
      <c r="H140" s="512"/>
      <c r="I140" s="517"/>
      <c r="J140" s="512"/>
      <c r="K140" s="512"/>
      <c r="L140" s="512"/>
      <c r="M140" s="512"/>
      <c r="N140" s="514"/>
      <c r="O140" s="514"/>
      <c r="P140" s="514"/>
      <c r="Q140" s="514"/>
      <c r="R140" s="514"/>
      <c r="S140" s="512"/>
      <c r="T140" s="512"/>
      <c r="U140" s="512"/>
      <c r="V140" s="512"/>
    </row>
    <row r="141" spans="3:22" x14ac:dyDescent="0.2">
      <c r="C141" s="512"/>
      <c r="D141" s="512"/>
      <c r="E141" s="512"/>
      <c r="F141" s="512"/>
      <c r="G141" s="512"/>
      <c r="H141" s="512"/>
      <c r="I141" s="517"/>
      <c r="J141" s="512"/>
      <c r="K141" s="512"/>
      <c r="L141" s="512"/>
      <c r="M141" s="512"/>
      <c r="N141" s="514"/>
      <c r="O141" s="514"/>
      <c r="P141" s="514"/>
      <c r="Q141" s="514"/>
      <c r="R141" s="514"/>
      <c r="S141" s="512"/>
      <c r="T141" s="512"/>
      <c r="U141" s="512"/>
      <c r="V141" s="512"/>
    </row>
    <row r="142" spans="3:22" x14ac:dyDescent="0.2">
      <c r="C142" s="512"/>
      <c r="D142" s="512"/>
      <c r="E142" s="512"/>
      <c r="F142" s="512"/>
      <c r="G142" s="512"/>
      <c r="H142" s="512"/>
      <c r="I142" s="517"/>
      <c r="J142" s="512"/>
      <c r="K142" s="512"/>
      <c r="L142" s="512"/>
      <c r="M142" s="512"/>
      <c r="N142" s="514"/>
      <c r="O142" s="514"/>
      <c r="P142" s="514"/>
      <c r="Q142" s="514"/>
      <c r="R142" s="514"/>
      <c r="S142" s="512"/>
      <c r="T142" s="512"/>
      <c r="U142" s="512"/>
      <c r="V142" s="512"/>
    </row>
    <row r="143" spans="3:22" x14ac:dyDescent="0.2">
      <c r="C143" s="512"/>
      <c r="D143" s="512"/>
      <c r="E143" s="512"/>
      <c r="F143" s="512"/>
      <c r="G143" s="512"/>
      <c r="H143" s="512"/>
      <c r="I143" s="517"/>
      <c r="J143" s="512"/>
      <c r="K143" s="512"/>
      <c r="L143" s="512"/>
      <c r="M143" s="512"/>
      <c r="N143" s="514"/>
      <c r="O143" s="514"/>
      <c r="P143" s="514"/>
      <c r="Q143" s="514"/>
      <c r="R143" s="514"/>
      <c r="S143" s="512"/>
      <c r="T143" s="512"/>
      <c r="U143" s="512"/>
      <c r="V143" s="512"/>
    </row>
    <row r="144" spans="3:22" x14ac:dyDescent="0.2">
      <c r="C144" s="512"/>
      <c r="D144" s="512"/>
      <c r="E144" s="512"/>
      <c r="F144" s="512"/>
      <c r="G144" s="512"/>
      <c r="H144" s="512"/>
      <c r="I144" s="517"/>
      <c r="J144" s="512"/>
      <c r="K144" s="512"/>
      <c r="L144" s="512"/>
      <c r="M144" s="512"/>
      <c r="N144" s="514"/>
      <c r="O144" s="514"/>
      <c r="P144" s="514"/>
      <c r="Q144" s="514"/>
      <c r="R144" s="514"/>
      <c r="S144" s="512"/>
      <c r="T144" s="512"/>
      <c r="U144" s="512"/>
      <c r="V144" s="512"/>
    </row>
    <row r="145" spans="3:22" x14ac:dyDescent="0.2">
      <c r="C145" s="512"/>
      <c r="D145" s="512"/>
      <c r="E145" s="512"/>
      <c r="F145" s="512"/>
      <c r="G145" s="512"/>
      <c r="H145" s="512"/>
      <c r="I145" s="517"/>
      <c r="J145" s="512"/>
      <c r="K145" s="512"/>
      <c r="L145" s="512"/>
      <c r="M145" s="512"/>
      <c r="N145" s="514"/>
      <c r="O145" s="514"/>
      <c r="P145" s="514"/>
      <c r="Q145" s="514"/>
      <c r="R145" s="514"/>
      <c r="S145" s="512"/>
      <c r="T145" s="512"/>
      <c r="U145" s="512"/>
      <c r="V145" s="512"/>
    </row>
    <row r="146" spans="3:22" x14ac:dyDescent="0.2">
      <c r="C146" s="512"/>
      <c r="D146" s="512"/>
      <c r="E146" s="512"/>
      <c r="F146" s="512"/>
      <c r="G146" s="512"/>
      <c r="H146" s="512"/>
      <c r="I146" s="517"/>
      <c r="J146" s="512"/>
      <c r="K146" s="512"/>
      <c r="L146" s="512"/>
      <c r="M146" s="512"/>
      <c r="N146" s="514"/>
      <c r="O146" s="514"/>
      <c r="P146" s="514"/>
      <c r="Q146" s="514"/>
      <c r="R146" s="514"/>
      <c r="S146" s="512"/>
      <c r="T146" s="512"/>
      <c r="U146" s="512"/>
      <c r="V146" s="512"/>
    </row>
    <row r="147" spans="3:22" x14ac:dyDescent="0.2">
      <c r="C147" s="512"/>
      <c r="D147" s="512"/>
      <c r="E147" s="512"/>
      <c r="F147" s="512"/>
      <c r="G147" s="512"/>
      <c r="H147" s="512"/>
      <c r="I147" s="517"/>
      <c r="J147" s="512"/>
      <c r="K147" s="512"/>
      <c r="L147" s="512"/>
      <c r="M147" s="512"/>
      <c r="N147" s="514"/>
      <c r="O147" s="514"/>
      <c r="P147" s="514"/>
      <c r="Q147" s="514"/>
      <c r="R147" s="514"/>
      <c r="S147" s="512"/>
      <c r="T147" s="512"/>
      <c r="U147" s="512"/>
      <c r="V147" s="512"/>
    </row>
    <row r="148" spans="3:22" x14ac:dyDescent="0.2">
      <c r="C148" s="512"/>
      <c r="D148" s="512"/>
      <c r="E148" s="512"/>
      <c r="F148" s="512"/>
      <c r="G148" s="512"/>
      <c r="H148" s="512"/>
      <c r="I148" s="517"/>
      <c r="J148" s="512"/>
      <c r="K148" s="512"/>
      <c r="L148" s="512"/>
      <c r="M148" s="512"/>
      <c r="N148" s="514"/>
      <c r="O148" s="514"/>
      <c r="P148" s="514"/>
      <c r="Q148" s="514"/>
      <c r="R148" s="514"/>
      <c r="S148" s="512"/>
      <c r="T148" s="512"/>
      <c r="U148" s="512"/>
      <c r="V148" s="512"/>
    </row>
    <row r="149" spans="3:22" x14ac:dyDescent="0.2">
      <c r="C149" s="512"/>
      <c r="D149" s="512"/>
      <c r="E149" s="512"/>
      <c r="F149" s="512"/>
      <c r="G149" s="512"/>
      <c r="H149" s="512"/>
      <c r="I149" s="517"/>
      <c r="J149" s="512"/>
      <c r="K149" s="512"/>
      <c r="L149" s="512"/>
      <c r="M149" s="512"/>
      <c r="N149" s="514"/>
      <c r="O149" s="514"/>
      <c r="P149" s="514"/>
      <c r="Q149" s="514"/>
      <c r="R149" s="514"/>
      <c r="S149" s="512"/>
      <c r="T149" s="512"/>
      <c r="U149" s="512"/>
      <c r="V149" s="512"/>
    </row>
    <row r="150" spans="3:22" x14ac:dyDescent="0.2">
      <c r="C150" s="512"/>
      <c r="D150" s="512"/>
      <c r="E150" s="512"/>
      <c r="F150" s="512"/>
      <c r="G150" s="512"/>
      <c r="H150" s="512"/>
      <c r="I150" s="517"/>
      <c r="J150" s="512"/>
      <c r="K150" s="512"/>
      <c r="L150" s="512"/>
      <c r="M150" s="512"/>
      <c r="N150" s="514"/>
      <c r="O150" s="514"/>
      <c r="P150" s="514"/>
      <c r="Q150" s="514"/>
      <c r="R150" s="514"/>
      <c r="S150" s="512"/>
      <c r="T150" s="512"/>
      <c r="U150" s="512"/>
      <c r="V150" s="512"/>
    </row>
    <row r="151" spans="3:22" x14ac:dyDescent="0.2">
      <c r="C151" s="512"/>
      <c r="D151" s="512"/>
      <c r="E151" s="512"/>
      <c r="F151" s="512"/>
      <c r="G151" s="512"/>
      <c r="H151" s="512"/>
      <c r="I151" s="517"/>
      <c r="J151" s="512"/>
      <c r="K151" s="512"/>
      <c r="L151" s="512"/>
      <c r="M151" s="512"/>
      <c r="N151" s="514"/>
      <c r="O151" s="514"/>
      <c r="P151" s="514"/>
      <c r="Q151" s="514"/>
      <c r="R151" s="514"/>
      <c r="S151" s="512"/>
      <c r="T151" s="512"/>
      <c r="U151" s="512"/>
      <c r="V151" s="512"/>
    </row>
    <row r="152" spans="3:22" x14ac:dyDescent="0.2">
      <c r="C152" s="512"/>
      <c r="D152" s="512"/>
      <c r="E152" s="512"/>
      <c r="F152" s="512"/>
      <c r="G152" s="512"/>
      <c r="H152" s="512"/>
      <c r="I152" s="517"/>
      <c r="J152" s="512"/>
      <c r="K152" s="512"/>
      <c r="L152" s="512"/>
      <c r="M152" s="512"/>
      <c r="N152" s="514"/>
      <c r="O152" s="514"/>
      <c r="P152" s="514"/>
      <c r="Q152" s="514"/>
      <c r="R152" s="514"/>
      <c r="S152" s="512"/>
      <c r="T152" s="512"/>
      <c r="U152" s="512"/>
      <c r="V152" s="512"/>
    </row>
    <row r="153" spans="3:22" x14ac:dyDescent="0.2">
      <c r="C153" s="512"/>
      <c r="D153" s="512"/>
      <c r="E153" s="512"/>
      <c r="F153" s="512"/>
      <c r="G153" s="512"/>
      <c r="H153" s="512"/>
      <c r="I153" s="517"/>
      <c r="J153" s="512"/>
      <c r="K153" s="512"/>
      <c r="L153" s="512"/>
      <c r="M153" s="512"/>
      <c r="N153" s="514"/>
      <c r="O153" s="514"/>
      <c r="P153" s="514"/>
      <c r="Q153" s="514"/>
      <c r="R153" s="514"/>
      <c r="S153" s="512"/>
      <c r="T153" s="512"/>
      <c r="U153" s="512"/>
      <c r="V153" s="512"/>
    </row>
    <row r="154" spans="3:22" x14ac:dyDescent="0.2">
      <c r="C154" s="512"/>
      <c r="D154" s="512"/>
      <c r="E154" s="512"/>
      <c r="F154" s="512"/>
      <c r="G154" s="512"/>
      <c r="H154" s="512"/>
      <c r="I154" s="517"/>
      <c r="J154" s="512"/>
      <c r="K154" s="512"/>
      <c r="L154" s="512"/>
      <c r="M154" s="512"/>
      <c r="N154" s="514"/>
      <c r="O154" s="514"/>
      <c r="P154" s="514"/>
      <c r="Q154" s="514"/>
      <c r="R154" s="514"/>
      <c r="S154" s="512"/>
      <c r="T154" s="512"/>
      <c r="U154" s="512"/>
      <c r="V154" s="512"/>
    </row>
    <row r="155" spans="3:22" x14ac:dyDescent="0.2">
      <c r="C155" s="512"/>
      <c r="D155" s="512"/>
      <c r="E155" s="512"/>
      <c r="F155" s="512"/>
      <c r="G155" s="512"/>
      <c r="H155" s="512"/>
      <c r="I155" s="517"/>
      <c r="J155" s="512"/>
      <c r="K155" s="512"/>
      <c r="L155" s="512"/>
      <c r="M155" s="512"/>
      <c r="N155" s="514"/>
      <c r="O155" s="514"/>
      <c r="P155" s="514"/>
      <c r="Q155" s="514"/>
      <c r="R155" s="514"/>
      <c r="S155" s="512"/>
      <c r="T155" s="512"/>
      <c r="U155" s="512"/>
      <c r="V155" s="512"/>
    </row>
    <row r="156" spans="3:22" x14ac:dyDescent="0.2">
      <c r="C156" s="512"/>
      <c r="D156" s="512"/>
      <c r="E156" s="512"/>
      <c r="F156" s="512"/>
      <c r="G156" s="512"/>
      <c r="H156" s="512"/>
      <c r="I156" s="517"/>
      <c r="J156" s="512"/>
      <c r="K156" s="512"/>
      <c r="L156" s="512"/>
      <c r="M156" s="512"/>
      <c r="N156" s="514"/>
      <c r="O156" s="514"/>
      <c r="P156" s="514"/>
      <c r="Q156" s="514"/>
      <c r="R156" s="514"/>
      <c r="S156" s="512"/>
      <c r="T156" s="512"/>
      <c r="U156" s="512"/>
      <c r="V156" s="512"/>
    </row>
    <row r="157" spans="3:22" x14ac:dyDescent="0.2">
      <c r="C157" s="512"/>
      <c r="D157" s="512"/>
      <c r="E157" s="512"/>
      <c r="F157" s="512"/>
      <c r="G157" s="512"/>
      <c r="H157" s="512"/>
      <c r="I157" s="517"/>
      <c r="J157" s="512"/>
      <c r="K157" s="512"/>
      <c r="L157" s="512"/>
      <c r="M157" s="512"/>
      <c r="N157" s="514"/>
      <c r="O157" s="514"/>
      <c r="P157" s="514"/>
      <c r="Q157" s="514"/>
      <c r="R157" s="514"/>
      <c r="S157" s="512"/>
      <c r="T157" s="512"/>
      <c r="U157" s="512"/>
      <c r="V157" s="512"/>
    </row>
    <row r="158" spans="3:22" x14ac:dyDescent="0.2">
      <c r="C158" s="512"/>
      <c r="D158" s="512"/>
      <c r="E158" s="512"/>
      <c r="F158" s="512"/>
      <c r="G158" s="512"/>
      <c r="H158" s="512"/>
      <c r="I158" s="517"/>
      <c r="J158" s="512"/>
      <c r="K158" s="512"/>
      <c r="L158" s="512"/>
      <c r="M158" s="512"/>
      <c r="N158" s="514"/>
      <c r="O158" s="514"/>
      <c r="P158" s="514"/>
      <c r="Q158" s="514"/>
      <c r="R158" s="514"/>
      <c r="S158" s="512"/>
      <c r="T158" s="512"/>
      <c r="U158" s="512"/>
      <c r="V158" s="512"/>
    </row>
    <row r="159" spans="3:22" x14ac:dyDescent="0.2">
      <c r="C159" s="512"/>
      <c r="D159" s="512"/>
      <c r="E159" s="512"/>
      <c r="F159" s="512"/>
      <c r="G159" s="512"/>
      <c r="H159" s="512"/>
      <c r="I159" s="517"/>
      <c r="J159" s="512"/>
      <c r="K159" s="512"/>
      <c r="L159" s="512"/>
      <c r="M159" s="512"/>
      <c r="N159" s="514"/>
      <c r="O159" s="514"/>
      <c r="P159" s="514"/>
      <c r="Q159" s="514"/>
      <c r="R159" s="514"/>
      <c r="S159" s="512"/>
      <c r="T159" s="512"/>
      <c r="U159" s="512"/>
      <c r="V159" s="512"/>
    </row>
    <row r="160" spans="3:22" x14ac:dyDescent="0.2">
      <c r="C160" s="512"/>
      <c r="D160" s="512"/>
      <c r="E160" s="512"/>
      <c r="F160" s="512"/>
      <c r="G160" s="512"/>
      <c r="H160" s="512"/>
      <c r="I160" s="517"/>
      <c r="J160" s="512"/>
      <c r="K160" s="512"/>
      <c r="L160" s="512"/>
      <c r="M160" s="512"/>
      <c r="N160" s="514"/>
      <c r="O160" s="514"/>
      <c r="P160" s="514"/>
      <c r="Q160" s="514"/>
      <c r="R160" s="514"/>
      <c r="S160" s="512"/>
      <c r="T160" s="512"/>
      <c r="U160" s="512"/>
      <c r="V160" s="512"/>
    </row>
    <row r="161" spans="3:22" x14ac:dyDescent="0.2">
      <c r="C161" s="512"/>
      <c r="D161" s="512"/>
      <c r="E161" s="512"/>
      <c r="F161" s="512"/>
      <c r="G161" s="512"/>
      <c r="H161" s="512"/>
      <c r="I161" s="517"/>
      <c r="J161" s="512"/>
      <c r="K161" s="512"/>
      <c r="L161" s="512"/>
      <c r="M161" s="512"/>
      <c r="N161" s="514"/>
      <c r="O161" s="514"/>
      <c r="P161" s="514"/>
      <c r="Q161" s="514"/>
      <c r="R161" s="514"/>
      <c r="S161" s="512"/>
      <c r="T161" s="512"/>
      <c r="U161" s="512"/>
      <c r="V161" s="512"/>
    </row>
    <row r="162" spans="3:22" x14ac:dyDescent="0.2">
      <c r="C162" s="512"/>
      <c r="D162" s="512"/>
      <c r="E162" s="512"/>
      <c r="F162" s="512"/>
      <c r="G162" s="512"/>
      <c r="H162" s="512"/>
      <c r="I162" s="517"/>
      <c r="J162" s="512"/>
      <c r="K162" s="512"/>
      <c r="L162" s="512"/>
      <c r="M162" s="512"/>
      <c r="N162" s="514"/>
      <c r="O162" s="514"/>
      <c r="P162" s="514"/>
      <c r="Q162" s="514"/>
      <c r="R162" s="514"/>
      <c r="S162" s="512"/>
      <c r="T162" s="512"/>
      <c r="U162" s="512"/>
      <c r="V162" s="512"/>
    </row>
    <row r="163" spans="3:22" x14ac:dyDescent="0.2">
      <c r="C163" s="512"/>
      <c r="D163" s="512"/>
      <c r="E163" s="512"/>
      <c r="F163" s="512"/>
      <c r="G163" s="512"/>
      <c r="H163" s="512"/>
      <c r="I163" s="517"/>
      <c r="J163" s="512"/>
      <c r="K163" s="512"/>
      <c r="L163" s="512"/>
      <c r="M163" s="512"/>
      <c r="N163" s="514"/>
      <c r="O163" s="514"/>
      <c r="P163" s="514"/>
      <c r="Q163" s="514"/>
      <c r="R163" s="514"/>
      <c r="S163" s="512"/>
      <c r="T163" s="512"/>
      <c r="U163" s="512"/>
      <c r="V163" s="512"/>
    </row>
    <row r="164" spans="3:22" x14ac:dyDescent="0.2">
      <c r="C164" s="512"/>
      <c r="D164" s="512"/>
      <c r="E164" s="512"/>
      <c r="F164" s="512"/>
      <c r="G164" s="512"/>
      <c r="H164" s="512"/>
      <c r="I164" s="517"/>
      <c r="J164" s="512"/>
      <c r="K164" s="512"/>
      <c r="L164" s="512"/>
      <c r="M164" s="512"/>
      <c r="N164" s="514"/>
      <c r="O164" s="514"/>
      <c r="P164" s="514"/>
      <c r="Q164" s="514"/>
      <c r="R164" s="514"/>
      <c r="S164" s="512"/>
      <c r="T164" s="512"/>
      <c r="U164" s="512"/>
      <c r="V164" s="512"/>
    </row>
    <row r="165" spans="3:22" x14ac:dyDescent="0.2">
      <c r="C165" s="512"/>
      <c r="D165" s="512"/>
      <c r="E165" s="512"/>
      <c r="F165" s="512"/>
      <c r="G165" s="512"/>
      <c r="H165" s="512"/>
      <c r="I165" s="517"/>
      <c r="J165" s="512"/>
      <c r="K165" s="512"/>
      <c r="L165" s="512"/>
      <c r="M165" s="512"/>
      <c r="N165" s="514"/>
      <c r="O165" s="514"/>
      <c r="P165" s="514"/>
      <c r="Q165" s="514"/>
      <c r="R165" s="514"/>
      <c r="S165" s="512"/>
      <c r="T165" s="512"/>
      <c r="U165" s="512"/>
      <c r="V165" s="512"/>
    </row>
    <row r="166" spans="3:22" x14ac:dyDescent="0.2">
      <c r="C166" s="512"/>
      <c r="D166" s="512"/>
      <c r="E166" s="512"/>
      <c r="F166" s="512"/>
      <c r="G166" s="512"/>
      <c r="H166" s="512"/>
      <c r="I166" s="517"/>
      <c r="J166" s="512"/>
      <c r="K166" s="512"/>
      <c r="L166" s="512"/>
      <c r="M166" s="512"/>
      <c r="N166" s="514"/>
      <c r="O166" s="514"/>
      <c r="P166" s="514"/>
      <c r="Q166" s="514"/>
      <c r="R166" s="514"/>
      <c r="S166" s="512"/>
      <c r="T166" s="512"/>
      <c r="U166" s="512"/>
      <c r="V166" s="512"/>
    </row>
    <row r="167" spans="3:22" x14ac:dyDescent="0.2">
      <c r="C167" s="512"/>
      <c r="D167" s="512"/>
      <c r="E167" s="512"/>
      <c r="F167" s="512"/>
      <c r="G167" s="512"/>
      <c r="H167" s="512"/>
      <c r="I167" s="517"/>
      <c r="J167" s="512"/>
      <c r="K167" s="512"/>
      <c r="L167" s="512"/>
      <c r="M167" s="512"/>
      <c r="N167" s="514"/>
      <c r="O167" s="514"/>
      <c r="P167" s="514"/>
      <c r="Q167" s="514"/>
      <c r="R167" s="514"/>
      <c r="S167" s="512"/>
      <c r="T167" s="512"/>
      <c r="U167" s="512"/>
      <c r="V167" s="512"/>
    </row>
    <row r="168" spans="3:22" x14ac:dyDescent="0.2">
      <c r="C168" s="512"/>
      <c r="D168" s="512"/>
      <c r="E168" s="512"/>
      <c r="F168" s="512"/>
      <c r="G168" s="512"/>
      <c r="H168" s="512"/>
      <c r="I168" s="517"/>
      <c r="J168" s="512"/>
      <c r="K168" s="512"/>
      <c r="L168" s="512"/>
      <c r="M168" s="512"/>
      <c r="N168" s="514"/>
      <c r="O168" s="514"/>
      <c r="P168" s="514"/>
      <c r="Q168" s="514"/>
      <c r="R168" s="514"/>
      <c r="S168" s="512"/>
      <c r="T168" s="512"/>
      <c r="U168" s="512"/>
      <c r="V168" s="512"/>
    </row>
    <row r="169" spans="3:22" x14ac:dyDescent="0.2">
      <c r="C169" s="512"/>
      <c r="D169" s="512"/>
      <c r="E169" s="512"/>
      <c r="F169" s="512"/>
      <c r="G169" s="512"/>
      <c r="H169" s="512"/>
      <c r="I169" s="517"/>
      <c r="J169" s="512"/>
      <c r="K169" s="512"/>
      <c r="L169" s="512"/>
      <c r="M169" s="512"/>
      <c r="N169" s="514"/>
      <c r="O169" s="514"/>
      <c r="P169" s="514"/>
      <c r="Q169" s="514"/>
      <c r="R169" s="514"/>
      <c r="S169" s="512"/>
      <c r="T169" s="512"/>
      <c r="U169" s="512"/>
      <c r="V169" s="512"/>
    </row>
    <row r="170" spans="3:22" x14ac:dyDescent="0.2">
      <c r="C170" s="512"/>
      <c r="D170" s="512"/>
      <c r="E170" s="512"/>
      <c r="F170" s="512"/>
      <c r="G170" s="512"/>
      <c r="H170" s="512"/>
      <c r="I170" s="517"/>
      <c r="J170" s="512"/>
      <c r="K170" s="512"/>
      <c r="L170" s="512"/>
      <c r="M170" s="512"/>
      <c r="N170" s="514"/>
      <c r="O170" s="514"/>
      <c r="P170" s="514"/>
      <c r="Q170" s="514"/>
      <c r="R170" s="514"/>
      <c r="S170" s="512"/>
      <c r="T170" s="512"/>
      <c r="U170" s="512"/>
      <c r="V170" s="512"/>
    </row>
    <row r="171" spans="3:22" x14ac:dyDescent="0.2">
      <c r="C171" s="512"/>
      <c r="D171" s="512"/>
      <c r="E171" s="512"/>
      <c r="F171" s="512"/>
      <c r="G171" s="512"/>
      <c r="H171" s="512"/>
      <c r="I171" s="517"/>
      <c r="J171" s="512"/>
      <c r="K171" s="512"/>
      <c r="L171" s="512"/>
      <c r="M171" s="512"/>
      <c r="N171" s="514"/>
      <c r="O171" s="514"/>
      <c r="P171" s="514"/>
      <c r="Q171" s="514"/>
      <c r="R171" s="514"/>
      <c r="S171" s="512"/>
      <c r="T171" s="512"/>
      <c r="U171" s="512"/>
      <c r="V171" s="512"/>
    </row>
    <row r="172" spans="3:22" x14ac:dyDescent="0.2">
      <c r="C172" s="512"/>
      <c r="D172" s="512"/>
      <c r="E172" s="512"/>
      <c r="F172" s="512"/>
      <c r="G172" s="512"/>
      <c r="H172" s="512"/>
      <c r="I172" s="517"/>
      <c r="J172" s="512"/>
      <c r="K172" s="512"/>
      <c r="L172" s="512"/>
      <c r="M172" s="512"/>
      <c r="N172" s="514"/>
      <c r="O172" s="514"/>
      <c r="P172" s="514"/>
      <c r="Q172" s="514"/>
      <c r="R172" s="514"/>
      <c r="S172" s="512"/>
      <c r="T172" s="512"/>
      <c r="U172" s="512"/>
      <c r="V172" s="512"/>
    </row>
    <row r="173" spans="3:22" x14ac:dyDescent="0.2">
      <c r="C173" s="512"/>
      <c r="D173" s="512"/>
      <c r="E173" s="512"/>
      <c r="F173" s="512"/>
      <c r="G173" s="512"/>
      <c r="H173" s="512"/>
      <c r="I173" s="517"/>
      <c r="J173" s="512"/>
      <c r="K173" s="512"/>
      <c r="L173" s="512"/>
      <c r="M173" s="512"/>
      <c r="N173" s="514"/>
      <c r="O173" s="514"/>
      <c r="P173" s="514"/>
      <c r="Q173" s="514"/>
      <c r="R173" s="514"/>
      <c r="S173" s="512"/>
      <c r="T173" s="512"/>
      <c r="U173" s="512"/>
      <c r="V173" s="512"/>
    </row>
    <row r="174" spans="3:22" x14ac:dyDescent="0.2">
      <c r="C174" s="512"/>
      <c r="D174" s="512"/>
      <c r="E174" s="512"/>
      <c r="F174" s="512"/>
      <c r="G174" s="512"/>
      <c r="H174" s="512"/>
      <c r="I174" s="517"/>
      <c r="J174" s="512"/>
      <c r="K174" s="512"/>
      <c r="L174" s="512"/>
      <c r="M174" s="512"/>
      <c r="N174" s="514"/>
      <c r="O174" s="514"/>
      <c r="P174" s="514"/>
      <c r="Q174" s="514"/>
      <c r="R174" s="514"/>
      <c r="S174" s="512"/>
      <c r="T174" s="512"/>
      <c r="U174" s="512"/>
      <c r="V174" s="512"/>
    </row>
  </sheetData>
  <mergeCells count="80">
    <mergeCell ref="Q7:Q8"/>
    <mergeCell ref="R7:R8"/>
    <mergeCell ref="U7:U8"/>
    <mergeCell ref="V7:V8"/>
    <mergeCell ref="K9:K12"/>
    <mergeCell ref="L9:L12"/>
    <mergeCell ref="M9:M12"/>
    <mergeCell ref="N9:N12"/>
    <mergeCell ref="O9:O12"/>
    <mergeCell ref="U9:U12"/>
    <mergeCell ref="V9:V12"/>
    <mergeCell ref="P9:P12"/>
    <mergeCell ref="Q9:Q12"/>
    <mergeCell ref="R9:R12"/>
    <mergeCell ref="A1:V1"/>
    <mergeCell ref="A3:V3"/>
    <mergeCell ref="V4:V6"/>
    <mergeCell ref="A11:A12"/>
    <mergeCell ref="S4:T4"/>
    <mergeCell ref="U4:U6"/>
    <mergeCell ref="P5:R5"/>
    <mergeCell ref="A4:A6"/>
    <mergeCell ref="B4:B6"/>
    <mergeCell ref="C4:C6"/>
    <mergeCell ref="D4:D6"/>
    <mergeCell ref="N4:R4"/>
    <mergeCell ref="E4:E6"/>
    <mergeCell ref="F4:F6"/>
    <mergeCell ref="N5:N6"/>
    <mergeCell ref="O5:O6"/>
    <mergeCell ref="U16:V16"/>
    <mergeCell ref="G4:G6"/>
    <mergeCell ref="H4:H6"/>
    <mergeCell ref="J5:J6"/>
    <mergeCell ref="K5:K6"/>
    <mergeCell ref="L5:L6"/>
    <mergeCell ref="M5:M6"/>
    <mergeCell ref="L4:M4"/>
    <mergeCell ref="I5:I6"/>
    <mergeCell ref="I4:K4"/>
    <mergeCell ref="K7:K8"/>
    <mergeCell ref="L7:L8"/>
    <mergeCell ref="M7:M8"/>
    <mergeCell ref="N7:N8"/>
    <mergeCell ref="O7:O8"/>
    <mergeCell ref="P7:P8"/>
    <mergeCell ref="U17:V17"/>
    <mergeCell ref="A7:A10"/>
    <mergeCell ref="E14:I14"/>
    <mergeCell ref="J14:R14"/>
    <mergeCell ref="U14:V14"/>
    <mergeCell ref="E15:I15"/>
    <mergeCell ref="E16:I16"/>
    <mergeCell ref="E17:I17"/>
    <mergeCell ref="J15:R15"/>
    <mergeCell ref="J16:R16"/>
    <mergeCell ref="J17:R17"/>
    <mergeCell ref="U15:V15"/>
    <mergeCell ref="A17:D17"/>
    <mergeCell ref="A15:D15"/>
    <mergeCell ref="A16:D16"/>
    <mergeCell ref="A14:D14"/>
    <mergeCell ref="E7:E8"/>
    <mergeCell ref="F7:F8"/>
    <mergeCell ref="E9:E12"/>
    <mergeCell ref="F9:F12"/>
    <mergeCell ref="G9:G12"/>
    <mergeCell ref="B9:B12"/>
    <mergeCell ref="C9:C12"/>
    <mergeCell ref="D9:D12"/>
    <mergeCell ref="B7:B8"/>
    <mergeCell ref="C7:C8"/>
    <mergeCell ref="D7:D8"/>
    <mergeCell ref="I9:I12"/>
    <mergeCell ref="J9:J12"/>
    <mergeCell ref="G7:G8"/>
    <mergeCell ref="H7:H8"/>
    <mergeCell ref="I7:I8"/>
    <mergeCell ref="J7:J8"/>
    <mergeCell ref="H9:H12"/>
  </mergeCells>
  <pageMargins left="0.74803149606299213" right="7.874015748031496E-2" top="1.0629921259842521" bottom="0.43307086614173229" header="0.74803149606299213" footer="0.27559055118110237"/>
  <pageSetup scale="46" fitToHeight="0" orientation="landscape" r:id="rId1"/>
  <headerFooter alignWithMargins="0">
    <oddHeader>&amp;L&amp;"Arial Narrow,Negrita Cursiva"              
              Gobierno Autónomo Departamental de La Paz&amp;C&amp;"Arial,Negrita"&amp;14FORMULARIO N°4
PROYECTOS DE INVERSIÓN PÚBLICA&amp;R&amp;"Arial Narrow,Negrita Cursiva"Plan Operativo Anual  2020</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76"/>
  <sheetViews>
    <sheetView view="pageBreakPreview" topLeftCell="A11" zoomScale="83" zoomScaleNormal="60" zoomScaleSheetLayoutView="83" zoomScalePageLayoutView="85" workbookViewId="0">
      <selection activeCell="N8" sqref="N8"/>
    </sheetView>
  </sheetViews>
  <sheetFormatPr baseColWidth="10" defaultColWidth="15.42578125" defaultRowHeight="12.75" x14ac:dyDescent="0.2"/>
  <cols>
    <col min="1" max="1" width="3.5703125" style="506" customWidth="1"/>
    <col min="2" max="2" width="27.42578125" style="506" customWidth="1"/>
    <col min="3" max="3" width="5.140625" style="506" bestFit="1" customWidth="1"/>
    <col min="4" max="4" width="6.85546875" style="506" customWidth="1"/>
    <col min="5" max="5" width="15.42578125" style="506" customWidth="1"/>
    <col min="6" max="6" width="11.7109375" style="506" customWidth="1"/>
    <col min="7" max="7" width="11.42578125" style="506" customWidth="1"/>
    <col min="8" max="8" width="16.7109375" style="509" customWidth="1"/>
    <col min="9" max="9" width="7.85546875" style="509" customWidth="1"/>
    <col min="10" max="10" width="10.5703125" style="509" customWidth="1"/>
    <col min="11" max="11" width="8.140625" style="509" customWidth="1"/>
    <col min="12" max="12" width="9.140625" style="509" customWidth="1"/>
    <col min="13" max="13" width="11.7109375" style="515" customWidth="1"/>
    <col min="14" max="14" width="13" style="515" customWidth="1"/>
    <col min="15" max="15" width="12.42578125" style="515" customWidth="1"/>
    <col min="16" max="16" width="7.85546875" style="515" customWidth="1"/>
    <col min="17" max="17" width="12.140625" style="515" customWidth="1"/>
    <col min="18" max="18" width="9.42578125" style="506" customWidth="1"/>
    <col min="19" max="19" width="8.7109375" style="506" customWidth="1"/>
    <col min="20" max="20" width="8.28515625" style="506" customWidth="1"/>
    <col min="21" max="21" width="16.28515625" style="509" customWidth="1"/>
    <col min="22" max="234" width="15.42578125" style="506"/>
    <col min="235" max="235" width="10.7109375" style="506" customWidth="1"/>
    <col min="236" max="490" width="15.42578125" style="506"/>
    <col min="491" max="491" width="10.7109375" style="506" customWidth="1"/>
    <col min="492" max="746" width="15.42578125" style="506"/>
    <col min="747" max="747" width="10.7109375" style="506" customWidth="1"/>
    <col min="748" max="1002" width="15.42578125" style="506"/>
    <col min="1003" max="1003" width="10.7109375" style="506" customWidth="1"/>
    <col min="1004" max="1258" width="15.42578125" style="506"/>
    <col min="1259" max="1259" width="10.7109375" style="506" customWidth="1"/>
    <col min="1260" max="1514" width="15.42578125" style="506"/>
    <col min="1515" max="1515" width="10.7109375" style="506" customWidth="1"/>
    <col min="1516" max="1770" width="15.42578125" style="506"/>
    <col min="1771" max="1771" width="10.7109375" style="506" customWidth="1"/>
    <col min="1772" max="2026" width="15.42578125" style="506"/>
    <col min="2027" max="2027" width="10.7109375" style="506" customWidth="1"/>
    <col min="2028" max="2282" width="15.42578125" style="506"/>
    <col min="2283" max="2283" width="10.7109375" style="506" customWidth="1"/>
    <col min="2284" max="2538" width="15.42578125" style="506"/>
    <col min="2539" max="2539" width="10.7109375" style="506" customWidth="1"/>
    <col min="2540" max="2794" width="15.42578125" style="506"/>
    <col min="2795" max="2795" width="10.7109375" style="506" customWidth="1"/>
    <col min="2796" max="3050" width="15.42578125" style="506"/>
    <col min="3051" max="3051" width="10.7109375" style="506" customWidth="1"/>
    <col min="3052" max="3306" width="15.42578125" style="506"/>
    <col min="3307" max="3307" width="10.7109375" style="506" customWidth="1"/>
    <col min="3308" max="3562" width="15.42578125" style="506"/>
    <col min="3563" max="3563" width="10.7109375" style="506" customWidth="1"/>
    <col min="3564" max="3818" width="15.42578125" style="506"/>
    <col min="3819" max="3819" width="10.7109375" style="506" customWidth="1"/>
    <col min="3820" max="4074" width="15.42578125" style="506"/>
    <col min="4075" max="4075" width="10.7109375" style="506" customWidth="1"/>
    <col min="4076" max="4330" width="15.42578125" style="506"/>
    <col min="4331" max="4331" width="10.7109375" style="506" customWidth="1"/>
    <col min="4332" max="4586" width="15.42578125" style="506"/>
    <col min="4587" max="4587" width="10.7109375" style="506" customWidth="1"/>
    <col min="4588" max="4842" width="15.42578125" style="506"/>
    <col min="4843" max="4843" width="10.7109375" style="506" customWidth="1"/>
    <col min="4844" max="5098" width="15.42578125" style="506"/>
    <col min="5099" max="5099" width="10.7109375" style="506" customWidth="1"/>
    <col min="5100" max="5354" width="15.42578125" style="506"/>
    <col min="5355" max="5355" width="10.7109375" style="506" customWidth="1"/>
    <col min="5356" max="5610" width="15.42578125" style="506"/>
    <col min="5611" max="5611" width="10.7109375" style="506" customWidth="1"/>
    <col min="5612" max="5866" width="15.42578125" style="506"/>
    <col min="5867" max="5867" width="10.7109375" style="506" customWidth="1"/>
    <col min="5868" max="6122" width="15.42578125" style="506"/>
    <col min="6123" max="6123" width="10.7109375" style="506" customWidth="1"/>
    <col min="6124" max="6378" width="15.42578125" style="506"/>
    <col min="6379" max="6379" width="10.7109375" style="506" customWidth="1"/>
    <col min="6380" max="6634" width="15.42578125" style="506"/>
    <col min="6635" max="6635" width="10.7109375" style="506" customWidth="1"/>
    <col min="6636" max="6890" width="15.42578125" style="506"/>
    <col min="6891" max="6891" width="10.7109375" style="506" customWidth="1"/>
    <col min="6892" max="7146" width="15.42578125" style="506"/>
    <col min="7147" max="7147" width="10.7109375" style="506" customWidth="1"/>
    <col min="7148" max="7402" width="15.42578125" style="506"/>
    <col min="7403" max="7403" width="10.7109375" style="506" customWidth="1"/>
    <col min="7404" max="7658" width="15.42578125" style="506"/>
    <col min="7659" max="7659" width="10.7109375" style="506" customWidth="1"/>
    <col min="7660" max="7914" width="15.42578125" style="506"/>
    <col min="7915" max="7915" width="10.7109375" style="506" customWidth="1"/>
    <col min="7916" max="8170" width="15.42578125" style="506"/>
    <col min="8171" max="8171" width="10.7109375" style="506" customWidth="1"/>
    <col min="8172" max="8426" width="15.42578125" style="506"/>
    <col min="8427" max="8427" width="10.7109375" style="506" customWidth="1"/>
    <col min="8428" max="8682" width="15.42578125" style="506"/>
    <col min="8683" max="8683" width="10.7109375" style="506" customWidth="1"/>
    <col min="8684" max="8938" width="15.42578125" style="506"/>
    <col min="8939" max="8939" width="10.7109375" style="506" customWidth="1"/>
    <col min="8940" max="9194" width="15.42578125" style="506"/>
    <col min="9195" max="9195" width="10.7109375" style="506" customWidth="1"/>
    <col min="9196" max="9450" width="15.42578125" style="506"/>
    <col min="9451" max="9451" width="10.7109375" style="506" customWidth="1"/>
    <col min="9452" max="9706" width="15.42578125" style="506"/>
    <col min="9707" max="9707" width="10.7109375" style="506" customWidth="1"/>
    <col min="9708" max="9962" width="15.42578125" style="506"/>
    <col min="9963" max="9963" width="10.7109375" style="506" customWidth="1"/>
    <col min="9964" max="10218" width="15.42578125" style="506"/>
    <col min="10219" max="10219" width="10.7109375" style="506" customWidth="1"/>
    <col min="10220" max="10474" width="15.42578125" style="506"/>
    <col min="10475" max="10475" width="10.7109375" style="506" customWidth="1"/>
    <col min="10476" max="10730" width="15.42578125" style="506"/>
    <col min="10731" max="10731" width="10.7109375" style="506" customWidth="1"/>
    <col min="10732" max="10986" width="15.42578125" style="506"/>
    <col min="10987" max="10987" width="10.7109375" style="506" customWidth="1"/>
    <col min="10988" max="11242" width="15.42578125" style="506"/>
    <col min="11243" max="11243" width="10.7109375" style="506" customWidth="1"/>
    <col min="11244" max="11498" width="15.42578125" style="506"/>
    <col min="11499" max="11499" width="10.7109375" style="506" customWidth="1"/>
    <col min="11500" max="11754" width="15.42578125" style="506"/>
    <col min="11755" max="11755" width="10.7109375" style="506" customWidth="1"/>
    <col min="11756" max="12010" width="15.42578125" style="506"/>
    <col min="12011" max="12011" width="10.7109375" style="506" customWidth="1"/>
    <col min="12012" max="12266" width="15.42578125" style="506"/>
    <col min="12267" max="12267" width="10.7109375" style="506" customWidth="1"/>
    <col min="12268" max="12522" width="15.42578125" style="506"/>
    <col min="12523" max="12523" width="10.7109375" style="506" customWidth="1"/>
    <col min="12524" max="12778" width="15.42578125" style="506"/>
    <col min="12779" max="12779" width="10.7109375" style="506" customWidth="1"/>
    <col min="12780" max="13034" width="15.42578125" style="506"/>
    <col min="13035" max="13035" width="10.7109375" style="506" customWidth="1"/>
    <col min="13036" max="13290" width="15.42578125" style="506"/>
    <col min="13291" max="13291" width="10.7109375" style="506" customWidth="1"/>
    <col min="13292" max="13546" width="15.42578125" style="506"/>
    <col min="13547" max="13547" width="10.7109375" style="506" customWidth="1"/>
    <col min="13548" max="13802" width="15.42578125" style="506"/>
    <col min="13803" max="13803" width="10.7109375" style="506" customWidth="1"/>
    <col min="13804" max="14058" width="15.42578125" style="506"/>
    <col min="14059" max="14059" width="10.7109375" style="506" customWidth="1"/>
    <col min="14060" max="14314" width="15.42578125" style="506"/>
    <col min="14315" max="14315" width="10.7109375" style="506" customWidth="1"/>
    <col min="14316" max="14570" width="15.42578125" style="506"/>
    <col min="14571" max="14571" width="10.7109375" style="506" customWidth="1"/>
    <col min="14572" max="14826" width="15.42578125" style="506"/>
    <col min="14827" max="14827" width="10.7109375" style="506" customWidth="1"/>
    <col min="14828" max="15082" width="15.42578125" style="506"/>
    <col min="15083" max="15083" width="10.7109375" style="506" customWidth="1"/>
    <col min="15084" max="15338" width="15.42578125" style="506"/>
    <col min="15339" max="15339" width="10.7109375" style="506" customWidth="1"/>
    <col min="15340" max="15594" width="15.42578125" style="506"/>
    <col min="15595" max="15595" width="10.7109375" style="506" customWidth="1"/>
    <col min="15596" max="15850" width="15.42578125" style="506"/>
    <col min="15851" max="15851" width="10.7109375" style="506" customWidth="1"/>
    <col min="15852" max="16106" width="15.42578125" style="506"/>
    <col min="16107" max="16107" width="10.7109375" style="506" customWidth="1"/>
    <col min="16108" max="16384" width="15.42578125" style="506"/>
  </cols>
  <sheetData>
    <row r="1" spans="1:99" ht="19.5" customHeight="1" x14ac:dyDescent="0.2">
      <c r="A1" s="1685" t="s">
        <v>477</v>
      </c>
      <c r="B1" s="1685"/>
      <c r="C1" s="1685"/>
      <c r="D1" s="1685"/>
      <c r="E1" s="1685"/>
      <c r="F1" s="1685"/>
      <c r="G1" s="1685"/>
      <c r="H1" s="1685"/>
      <c r="I1" s="1685"/>
      <c r="J1" s="1685"/>
      <c r="K1" s="1685"/>
      <c r="L1" s="1685"/>
      <c r="M1" s="1685"/>
      <c r="N1" s="1685"/>
      <c r="O1" s="1685"/>
      <c r="P1" s="1685"/>
      <c r="Q1" s="1685"/>
      <c r="R1" s="1685"/>
      <c r="S1" s="1685"/>
      <c r="T1" s="1685"/>
      <c r="U1" s="1685"/>
    </row>
    <row r="2" spans="1:99" ht="18.75" thickBot="1" x14ac:dyDescent="0.25">
      <c r="A2" s="1277"/>
      <c r="B2" s="1277"/>
      <c r="C2" s="1277"/>
      <c r="D2" s="1277"/>
      <c r="E2" s="1277"/>
      <c r="F2" s="1277"/>
      <c r="G2" s="1277"/>
      <c r="H2" s="1277"/>
      <c r="I2" s="1277"/>
      <c r="J2" s="1277"/>
      <c r="K2" s="1277"/>
      <c r="L2" s="1277"/>
      <c r="M2" s="1277"/>
      <c r="N2" s="1277"/>
      <c r="O2" s="1277"/>
      <c r="P2" s="1277"/>
      <c r="Q2" s="1277"/>
      <c r="R2" s="1277"/>
      <c r="S2" s="1277"/>
      <c r="T2" s="1714" t="s">
        <v>1340</v>
      </c>
      <c r="U2" s="1714"/>
    </row>
    <row r="3" spans="1:99" ht="19.5" customHeight="1" thickBot="1" x14ac:dyDescent="0.25">
      <c r="A3" s="1686" t="s">
        <v>468</v>
      </c>
      <c r="B3" s="1687"/>
      <c r="C3" s="1687"/>
      <c r="D3" s="1687"/>
      <c r="E3" s="1687"/>
      <c r="F3" s="1687"/>
      <c r="G3" s="1687"/>
      <c r="H3" s="1687"/>
      <c r="I3" s="1687"/>
      <c r="J3" s="1687"/>
      <c r="K3" s="1687"/>
      <c r="L3" s="1687"/>
      <c r="M3" s="1687"/>
      <c r="N3" s="1687"/>
      <c r="O3" s="1687"/>
      <c r="P3" s="1687"/>
      <c r="Q3" s="1687"/>
      <c r="R3" s="1687"/>
      <c r="S3" s="1687"/>
      <c r="T3" s="1687"/>
      <c r="U3" s="1688"/>
    </row>
    <row r="4" spans="1:99" ht="27.75" customHeight="1" x14ac:dyDescent="0.2">
      <c r="A4" s="1694" t="s">
        <v>387</v>
      </c>
      <c r="B4" s="1672" t="s">
        <v>408</v>
      </c>
      <c r="C4" s="1672" t="s">
        <v>411</v>
      </c>
      <c r="D4" s="1672" t="s">
        <v>454</v>
      </c>
      <c r="E4" s="1672" t="s">
        <v>400</v>
      </c>
      <c r="F4" s="1715" t="s">
        <v>406</v>
      </c>
      <c r="G4" s="1715" t="s">
        <v>407</v>
      </c>
      <c r="H4" s="1672" t="s">
        <v>409</v>
      </c>
      <c r="I4" s="1672"/>
      <c r="J4" s="1672"/>
      <c r="K4" s="1672" t="s">
        <v>401</v>
      </c>
      <c r="L4" s="1672"/>
      <c r="M4" s="1672" t="s">
        <v>398</v>
      </c>
      <c r="N4" s="1672"/>
      <c r="O4" s="1672"/>
      <c r="P4" s="1672"/>
      <c r="Q4" s="1672"/>
      <c r="R4" s="1672" t="s">
        <v>399</v>
      </c>
      <c r="S4" s="1672"/>
      <c r="T4" s="1715" t="s">
        <v>402</v>
      </c>
      <c r="U4" s="1689" t="s">
        <v>403</v>
      </c>
    </row>
    <row r="5" spans="1:99" ht="18" customHeight="1" x14ac:dyDescent="0.2">
      <c r="A5" s="1695"/>
      <c r="B5" s="1673"/>
      <c r="C5" s="1673"/>
      <c r="D5" s="1673"/>
      <c r="E5" s="1673"/>
      <c r="F5" s="1716"/>
      <c r="G5" s="1716"/>
      <c r="H5" s="1673" t="s">
        <v>394</v>
      </c>
      <c r="I5" s="1673" t="s">
        <v>395</v>
      </c>
      <c r="J5" s="1673" t="s">
        <v>473</v>
      </c>
      <c r="K5" s="1673" t="s">
        <v>397</v>
      </c>
      <c r="L5" s="1673" t="s">
        <v>474</v>
      </c>
      <c r="M5" s="1673" t="s">
        <v>396</v>
      </c>
      <c r="N5" s="1673" t="s">
        <v>475</v>
      </c>
      <c r="O5" s="1673" t="s">
        <v>476</v>
      </c>
      <c r="P5" s="1673"/>
      <c r="Q5" s="1673"/>
      <c r="R5" s="1280"/>
      <c r="S5" s="1280"/>
      <c r="T5" s="1716"/>
      <c r="U5" s="1690"/>
    </row>
    <row r="6" spans="1:99" ht="75.75" customHeight="1" thickBot="1" x14ac:dyDescent="0.25">
      <c r="A6" s="1696"/>
      <c r="B6" s="1674"/>
      <c r="C6" s="1674"/>
      <c r="D6" s="1674"/>
      <c r="E6" s="1674"/>
      <c r="F6" s="1717"/>
      <c r="G6" s="1717"/>
      <c r="H6" s="1674"/>
      <c r="I6" s="1674"/>
      <c r="J6" s="1674"/>
      <c r="K6" s="1674"/>
      <c r="L6" s="1674"/>
      <c r="M6" s="1674"/>
      <c r="N6" s="1674"/>
      <c r="O6" s="1281" t="s">
        <v>404</v>
      </c>
      <c r="P6" s="1281" t="s">
        <v>405</v>
      </c>
      <c r="Q6" s="1281" t="s">
        <v>285</v>
      </c>
      <c r="R6" s="1281" t="s">
        <v>391</v>
      </c>
      <c r="S6" s="1281" t="s">
        <v>392</v>
      </c>
      <c r="T6" s="1718"/>
      <c r="U6" s="1691"/>
    </row>
    <row r="7" spans="1:99" s="507" customFormat="1" ht="123.75" customHeight="1" x14ac:dyDescent="0.2">
      <c r="A7" s="1304">
        <v>1</v>
      </c>
      <c r="B7" s="1305" t="s">
        <v>1205</v>
      </c>
      <c r="C7" s="1306"/>
      <c r="D7" s="1278" t="s">
        <v>1214</v>
      </c>
      <c r="E7" s="1307">
        <v>11957350</v>
      </c>
      <c r="F7" s="1279" t="s">
        <v>1215</v>
      </c>
      <c r="G7" s="1308" t="s">
        <v>1218</v>
      </c>
      <c r="H7" s="1309" t="s">
        <v>1222</v>
      </c>
      <c r="I7" s="1310">
        <v>29950</v>
      </c>
      <c r="J7" s="1310">
        <v>6065</v>
      </c>
      <c r="K7" s="1311">
        <v>0.47799999999999998</v>
      </c>
      <c r="L7" s="1311">
        <v>0.437</v>
      </c>
      <c r="M7" s="1312" t="s">
        <v>1556</v>
      </c>
      <c r="N7" s="1312" t="s">
        <v>1871</v>
      </c>
      <c r="O7" s="1313">
        <v>1344000</v>
      </c>
      <c r="P7" s="1314"/>
      <c r="Q7" s="1315">
        <f>O7+P7</f>
        <v>1344000</v>
      </c>
      <c r="R7" s="1316"/>
      <c r="S7" s="1316"/>
      <c r="T7" s="1317" t="s">
        <v>1214</v>
      </c>
      <c r="U7" s="1318" t="s">
        <v>1231</v>
      </c>
      <c r="V7" s="1282"/>
      <c r="W7" s="1283" t="s">
        <v>1891</v>
      </c>
      <c r="X7" s="1283"/>
      <c r="Y7" s="1283"/>
      <c r="Z7" s="1283"/>
      <c r="AA7" s="1283"/>
      <c r="AB7" s="1283"/>
      <c r="AC7" s="1283"/>
      <c r="AD7" s="1283"/>
      <c r="AE7" s="1283"/>
      <c r="AF7" s="1283"/>
      <c r="AG7" s="1283"/>
      <c r="AH7" s="1283"/>
      <c r="AI7" s="1283"/>
      <c r="AJ7" s="1283"/>
      <c r="AK7" s="1283"/>
      <c r="AL7" s="1283"/>
      <c r="AM7" s="1283"/>
      <c r="AN7" s="1283"/>
      <c r="AO7" s="1283"/>
      <c r="AP7" s="1283"/>
      <c r="AQ7" s="1283"/>
      <c r="AR7" s="1283"/>
      <c r="AS7" s="1283"/>
      <c r="AT7" s="1283"/>
      <c r="AU7" s="1283"/>
      <c r="AV7" s="1283"/>
      <c r="AW7" s="1283"/>
      <c r="AX7" s="1283"/>
      <c r="AY7" s="1283"/>
      <c r="AZ7" s="1283"/>
      <c r="BA7" s="1283"/>
      <c r="BB7" s="1283"/>
      <c r="BC7" s="1283"/>
      <c r="BD7" s="1283"/>
      <c r="BE7" s="1283"/>
      <c r="BF7" s="1283"/>
      <c r="BG7" s="1283"/>
      <c r="BH7" s="1283"/>
      <c r="BI7" s="1283"/>
      <c r="BJ7" s="1283"/>
      <c r="BK7" s="1283"/>
      <c r="BL7" s="1283"/>
      <c r="BM7" s="1283"/>
      <c r="BN7" s="1283"/>
      <c r="BO7" s="1283"/>
      <c r="BP7" s="1283"/>
      <c r="BQ7" s="1283"/>
      <c r="BR7" s="1283"/>
      <c r="BS7" s="1283"/>
      <c r="BT7" s="1283"/>
      <c r="BU7" s="1283"/>
      <c r="BV7" s="1283"/>
      <c r="BW7" s="1283"/>
      <c r="BX7" s="1283"/>
      <c r="BY7" s="1283"/>
      <c r="BZ7" s="1283"/>
      <c r="CA7" s="1283"/>
      <c r="CB7" s="1283"/>
      <c r="CC7" s="1283"/>
      <c r="CD7" s="1283"/>
      <c r="CE7" s="1283"/>
      <c r="CF7" s="1283"/>
      <c r="CG7" s="1283"/>
      <c r="CH7" s="1283"/>
      <c r="CI7" s="1283"/>
      <c r="CJ7" s="1283"/>
      <c r="CK7" s="1283"/>
      <c r="CL7" s="1283"/>
      <c r="CM7" s="1283"/>
      <c r="CN7" s="1283"/>
      <c r="CO7" s="1283"/>
      <c r="CP7" s="1283"/>
      <c r="CQ7" s="1283"/>
      <c r="CR7" s="1283"/>
      <c r="CS7" s="1283"/>
      <c r="CT7" s="1283"/>
      <c r="CU7" s="1283"/>
    </row>
    <row r="8" spans="1:99" s="1294" customFormat="1" ht="105" customHeight="1" x14ac:dyDescent="0.2">
      <c r="A8" s="1284">
        <v>2</v>
      </c>
      <c r="B8" s="1285" t="s">
        <v>1206</v>
      </c>
      <c r="C8" s="1216"/>
      <c r="D8" s="836" t="s">
        <v>1214</v>
      </c>
      <c r="E8" s="1286">
        <v>62657.5</v>
      </c>
      <c r="F8" s="1023" t="s">
        <v>1216</v>
      </c>
      <c r="G8" s="1023" t="s">
        <v>1219</v>
      </c>
      <c r="H8" s="1028" t="s">
        <v>1223</v>
      </c>
      <c r="I8" s="1025">
        <v>500</v>
      </c>
      <c r="J8" s="1025">
        <v>510</v>
      </c>
      <c r="K8" s="1287">
        <v>0.45200000000000001</v>
      </c>
      <c r="L8" s="1287">
        <v>8.3000000000000004E-2</v>
      </c>
      <c r="M8" s="1288" t="s">
        <v>1555</v>
      </c>
      <c r="N8" s="1289">
        <v>6147382.9699999997</v>
      </c>
      <c r="O8" s="1290">
        <v>12531500</v>
      </c>
      <c r="P8" s="1291"/>
      <c r="Q8" s="1290">
        <f t="shared" ref="Q8:Q15" si="0">+O8</f>
        <v>12531500</v>
      </c>
      <c r="R8" s="1292"/>
      <c r="S8" s="1292"/>
      <c r="T8" s="1293" t="s">
        <v>1214</v>
      </c>
      <c r="U8" s="1026" t="s">
        <v>1232</v>
      </c>
      <c r="V8" s="1283"/>
      <c r="W8" s="1283"/>
      <c r="X8" s="1283"/>
      <c r="Y8" s="1283"/>
      <c r="Z8" s="1283"/>
      <c r="AA8" s="1283"/>
      <c r="AB8" s="1283"/>
      <c r="AC8" s="1283"/>
      <c r="AD8" s="1283"/>
      <c r="AE8" s="1283"/>
      <c r="AF8" s="1283"/>
      <c r="AG8" s="1283"/>
      <c r="AH8" s="1283"/>
      <c r="AI8" s="1283"/>
      <c r="AJ8" s="1283"/>
      <c r="AK8" s="1283"/>
      <c r="AL8" s="1283"/>
      <c r="AM8" s="1283"/>
      <c r="AN8" s="1283"/>
      <c r="AO8" s="1283"/>
      <c r="AP8" s="1283"/>
      <c r="AQ8" s="1283"/>
      <c r="AR8" s="1283"/>
      <c r="AS8" s="1283"/>
      <c r="AT8" s="1283"/>
      <c r="AU8" s="1283"/>
      <c r="AV8" s="1283"/>
      <c r="AW8" s="1283"/>
      <c r="AX8" s="1283"/>
      <c r="AY8" s="1283"/>
      <c r="AZ8" s="1283"/>
      <c r="BA8" s="1283"/>
      <c r="BB8" s="1283"/>
      <c r="BC8" s="1283"/>
      <c r="BD8" s="1283"/>
      <c r="BE8" s="1283"/>
      <c r="BF8" s="1283"/>
      <c r="BG8" s="1283"/>
      <c r="BH8" s="1283"/>
      <c r="BI8" s="1283"/>
      <c r="BJ8" s="1283"/>
      <c r="BK8" s="1283"/>
      <c r="BL8" s="1283"/>
      <c r="BM8" s="1283"/>
      <c r="BN8" s="1283"/>
      <c r="BO8" s="1283"/>
      <c r="BP8" s="1283"/>
      <c r="BQ8" s="1283"/>
      <c r="BR8" s="1283"/>
      <c r="BS8" s="1283"/>
      <c r="BT8" s="1283"/>
      <c r="BU8" s="1283"/>
      <c r="BV8" s="1283"/>
      <c r="BW8" s="1283"/>
      <c r="BX8" s="1283"/>
      <c r="BY8" s="1283"/>
      <c r="BZ8" s="1283"/>
      <c r="CA8" s="1283"/>
      <c r="CB8" s="1283"/>
      <c r="CC8" s="1283"/>
      <c r="CD8" s="1283"/>
      <c r="CE8" s="1283"/>
      <c r="CF8" s="1283"/>
      <c r="CG8" s="1283"/>
      <c r="CH8" s="1283"/>
      <c r="CI8" s="1283"/>
      <c r="CJ8" s="1283"/>
      <c r="CK8" s="1283"/>
      <c r="CL8" s="1283"/>
      <c r="CM8" s="1283"/>
      <c r="CN8" s="1283"/>
      <c r="CO8" s="1283"/>
      <c r="CP8" s="1283"/>
      <c r="CQ8" s="1283"/>
      <c r="CR8" s="1283"/>
      <c r="CS8" s="1283"/>
      <c r="CT8" s="1283"/>
      <c r="CU8" s="1283"/>
    </row>
    <row r="9" spans="1:99" s="507" customFormat="1" ht="71.25" customHeight="1" x14ac:dyDescent="0.2">
      <c r="A9" s="838">
        <v>3</v>
      </c>
      <c r="B9" s="1285" t="s">
        <v>1207</v>
      </c>
      <c r="C9" s="1216"/>
      <c r="D9" s="836" t="s">
        <v>1214</v>
      </c>
      <c r="E9" s="1295">
        <v>1500000</v>
      </c>
      <c r="F9" s="1023" t="s">
        <v>1872</v>
      </c>
      <c r="G9" s="1023" t="s">
        <v>1220</v>
      </c>
      <c r="H9" s="1024" t="s">
        <v>1224</v>
      </c>
      <c r="I9" s="1025">
        <v>630</v>
      </c>
      <c r="J9" s="1031">
        <v>74</v>
      </c>
      <c r="K9" s="1287" t="s">
        <v>1873</v>
      </c>
      <c r="L9" s="1287" t="s">
        <v>1874</v>
      </c>
      <c r="M9" s="1296" t="s">
        <v>1875</v>
      </c>
      <c r="N9" s="1296" t="s">
        <v>1876</v>
      </c>
      <c r="O9" s="1030">
        <v>300000</v>
      </c>
      <c r="P9" s="1291"/>
      <c r="Q9" s="1290">
        <f t="shared" si="0"/>
        <v>300000</v>
      </c>
      <c r="R9" s="1297"/>
      <c r="S9" s="1297"/>
      <c r="T9" s="837" t="s">
        <v>1214</v>
      </c>
      <c r="U9" s="1027" t="s">
        <v>1233</v>
      </c>
    </row>
    <row r="10" spans="1:99" s="507" customFormat="1" ht="99.75" customHeight="1" x14ac:dyDescent="0.2">
      <c r="A10" s="1304">
        <v>4</v>
      </c>
      <c r="B10" s="1285" t="s">
        <v>1208</v>
      </c>
      <c r="C10" s="1216"/>
      <c r="D10" s="836" t="s">
        <v>1214</v>
      </c>
      <c r="E10" s="1295">
        <v>3994065</v>
      </c>
      <c r="F10" s="829" t="s">
        <v>1877</v>
      </c>
      <c r="G10" s="829" t="s">
        <v>1878</v>
      </c>
      <c r="H10" s="1028" t="s">
        <v>1225</v>
      </c>
      <c r="I10" s="1029">
        <v>1458</v>
      </c>
      <c r="J10" s="1025">
        <v>352</v>
      </c>
      <c r="K10" s="1287">
        <v>0.57999999999999996</v>
      </c>
      <c r="L10" s="1287">
        <v>0.38</v>
      </c>
      <c r="M10" s="1296" t="s">
        <v>1879</v>
      </c>
      <c r="N10" s="1296" t="s">
        <v>1880</v>
      </c>
      <c r="O10" s="1030">
        <v>500000</v>
      </c>
      <c r="P10" s="1291"/>
      <c r="Q10" s="1030">
        <f t="shared" si="0"/>
        <v>500000</v>
      </c>
      <c r="R10" s="1292"/>
      <c r="S10" s="1292"/>
      <c r="T10" s="837" t="s">
        <v>1214</v>
      </c>
      <c r="U10" s="1026" t="s">
        <v>1234</v>
      </c>
    </row>
    <row r="11" spans="1:99" s="507" customFormat="1" ht="83.25" customHeight="1" x14ac:dyDescent="0.2">
      <c r="A11" s="1284">
        <v>5</v>
      </c>
      <c r="B11" s="1298" t="s">
        <v>1209</v>
      </c>
      <c r="C11" s="1216"/>
      <c r="D11" s="836" t="s">
        <v>1214</v>
      </c>
      <c r="E11" s="1295">
        <v>238944</v>
      </c>
      <c r="F11" s="829" t="s">
        <v>1881</v>
      </c>
      <c r="G11" s="829" t="s">
        <v>1882</v>
      </c>
      <c r="H11" s="1028" t="s">
        <v>1226</v>
      </c>
      <c r="I11" s="1031">
        <v>300</v>
      </c>
      <c r="J11" s="1025">
        <v>100</v>
      </c>
      <c r="K11" s="1287">
        <v>0.57999999999999996</v>
      </c>
      <c r="L11" s="1287">
        <v>6.4000000000000001E-2</v>
      </c>
      <c r="M11" s="1289">
        <v>53013.8</v>
      </c>
      <c r="N11" s="1289">
        <v>160000</v>
      </c>
      <c r="O11" s="1030">
        <v>217844</v>
      </c>
      <c r="P11" s="1291"/>
      <c r="Q11" s="1030">
        <f t="shared" si="0"/>
        <v>217844</v>
      </c>
      <c r="R11" s="1292"/>
      <c r="S11" s="1292"/>
      <c r="T11" s="837" t="s">
        <v>1214</v>
      </c>
      <c r="U11" s="1026" t="s">
        <v>1235</v>
      </c>
    </row>
    <row r="12" spans="1:99" s="507" customFormat="1" ht="132.75" customHeight="1" x14ac:dyDescent="0.2">
      <c r="A12" s="838">
        <v>6</v>
      </c>
      <c r="B12" s="1285" t="s">
        <v>1210</v>
      </c>
      <c r="C12" s="1216"/>
      <c r="D12" s="836" t="s">
        <v>1214</v>
      </c>
      <c r="E12" s="1300">
        <v>865000</v>
      </c>
      <c r="F12" s="828" t="s">
        <v>1217</v>
      </c>
      <c r="G12" s="829" t="s">
        <v>1221</v>
      </c>
      <c r="H12" s="1028" t="s">
        <v>1227</v>
      </c>
      <c r="I12" s="1031">
        <v>110</v>
      </c>
      <c r="J12" s="1025">
        <v>20</v>
      </c>
      <c r="K12" s="1287">
        <v>0.13</v>
      </c>
      <c r="L12" s="1287">
        <v>0.28000000000000003</v>
      </c>
      <c r="M12" s="1296" t="s">
        <v>1883</v>
      </c>
      <c r="N12" s="1296" t="s">
        <v>1884</v>
      </c>
      <c r="O12" s="1030">
        <v>255729</v>
      </c>
      <c r="P12" s="1291"/>
      <c r="Q12" s="1030">
        <f t="shared" si="0"/>
        <v>255729</v>
      </c>
      <c r="R12" s="1292"/>
      <c r="S12" s="1292"/>
      <c r="T12" s="837" t="s">
        <v>1214</v>
      </c>
      <c r="U12" s="1026" t="s">
        <v>1236</v>
      </c>
    </row>
    <row r="13" spans="1:99" s="507" customFormat="1" ht="58.5" customHeight="1" x14ac:dyDescent="0.2">
      <c r="A13" s="1304">
        <v>7</v>
      </c>
      <c r="B13" s="1285" t="s">
        <v>1211</v>
      </c>
      <c r="C13" s="1216"/>
      <c r="D13" s="836" t="s">
        <v>1214</v>
      </c>
      <c r="E13" s="1300">
        <v>881341</v>
      </c>
      <c r="F13" s="829" t="s">
        <v>1881</v>
      </c>
      <c r="G13" s="829" t="s">
        <v>1882</v>
      </c>
      <c r="H13" s="1028" t="s">
        <v>1228</v>
      </c>
      <c r="I13" s="1031"/>
      <c r="J13" s="1025">
        <v>170</v>
      </c>
      <c r="K13" s="1287">
        <v>0.56000000000000005</v>
      </c>
      <c r="L13" s="1287">
        <v>6.4199999999999993E-2</v>
      </c>
      <c r="M13" s="1289">
        <v>47837.07</v>
      </c>
      <c r="N13" s="1289">
        <v>881341</v>
      </c>
      <c r="O13" s="1290">
        <v>881341</v>
      </c>
      <c r="P13" s="1291"/>
      <c r="Q13" s="1030">
        <f t="shared" si="0"/>
        <v>881341</v>
      </c>
      <c r="R13" s="1292"/>
      <c r="S13" s="1292"/>
      <c r="T13" s="837" t="s">
        <v>1214</v>
      </c>
      <c r="U13" s="1026" t="s">
        <v>1237</v>
      </c>
    </row>
    <row r="14" spans="1:99" s="1294" customFormat="1" ht="70.5" customHeight="1" x14ac:dyDescent="0.2">
      <c r="A14" s="1284">
        <v>8</v>
      </c>
      <c r="B14" s="1285" t="s">
        <v>1212</v>
      </c>
      <c r="C14" s="1216"/>
      <c r="D14" s="836" t="s">
        <v>1214</v>
      </c>
      <c r="E14" s="1300">
        <v>3000000</v>
      </c>
      <c r="F14" s="829" t="s">
        <v>1881</v>
      </c>
      <c r="G14" s="829" t="s">
        <v>1882</v>
      </c>
      <c r="H14" s="1028" t="s">
        <v>1229</v>
      </c>
      <c r="I14" s="1031">
        <v>710</v>
      </c>
      <c r="J14" s="1025">
        <v>140</v>
      </c>
      <c r="K14" s="1287" t="s">
        <v>1885</v>
      </c>
      <c r="L14" s="1287" t="s">
        <v>1886</v>
      </c>
      <c r="M14" s="1288" t="s">
        <v>1887</v>
      </c>
      <c r="N14" s="1288" t="s">
        <v>1888</v>
      </c>
      <c r="O14" s="1290">
        <v>348473</v>
      </c>
      <c r="P14" s="1291"/>
      <c r="Q14" s="1030">
        <f t="shared" si="0"/>
        <v>348473</v>
      </c>
      <c r="R14" s="1292"/>
      <c r="S14" s="1292"/>
      <c r="T14" s="1293" t="s">
        <v>1214</v>
      </c>
      <c r="U14" s="1026" t="s">
        <v>1238</v>
      </c>
      <c r="V14" s="1283"/>
      <c r="W14" s="1283"/>
      <c r="X14" s="1283"/>
      <c r="Y14" s="1283"/>
      <c r="Z14" s="1283"/>
      <c r="AA14" s="1283"/>
      <c r="AB14" s="1283"/>
      <c r="AC14" s="1283"/>
      <c r="AD14" s="1283"/>
      <c r="AE14" s="1283"/>
      <c r="AF14" s="1283"/>
      <c r="AG14" s="1283"/>
      <c r="AH14" s="1283"/>
      <c r="AI14" s="1283"/>
      <c r="AJ14" s="1283"/>
      <c r="AK14" s="1283"/>
      <c r="AL14" s="1283"/>
      <c r="AM14" s="1283"/>
      <c r="AN14" s="1283"/>
      <c r="AO14" s="1283"/>
      <c r="AP14" s="1283"/>
      <c r="AQ14" s="1283"/>
      <c r="AR14" s="1283"/>
      <c r="AS14" s="1283"/>
      <c r="AT14" s="1283"/>
      <c r="AU14" s="1283"/>
      <c r="AV14" s="1283"/>
      <c r="AW14" s="1283"/>
      <c r="AX14" s="1283"/>
      <c r="AY14" s="1283"/>
      <c r="AZ14" s="1283"/>
      <c r="BA14" s="1283"/>
      <c r="BB14" s="1283"/>
      <c r="BC14" s="1283"/>
      <c r="BD14" s="1283"/>
      <c r="BE14" s="1283"/>
      <c r="BF14" s="1283"/>
      <c r="BG14" s="1283"/>
      <c r="BH14" s="1283"/>
      <c r="BI14" s="1283"/>
      <c r="BJ14" s="1283"/>
      <c r="BK14" s="1283"/>
      <c r="BL14" s="1283"/>
      <c r="BM14" s="1283"/>
      <c r="BN14" s="1283"/>
      <c r="BO14" s="1283"/>
      <c r="BP14" s="1283"/>
      <c r="BQ14" s="1283"/>
      <c r="BR14" s="1283"/>
      <c r="BS14" s="1283"/>
      <c r="BT14" s="1283"/>
      <c r="BU14" s="1283"/>
      <c r="BV14" s="1283"/>
      <c r="BW14" s="1283"/>
      <c r="BX14" s="1283"/>
      <c r="BY14" s="1283"/>
      <c r="BZ14" s="1283"/>
      <c r="CA14" s="1283"/>
      <c r="CB14" s="1283"/>
      <c r="CC14" s="1283"/>
      <c r="CD14" s="1283"/>
    </row>
    <row r="15" spans="1:99" s="1294" customFormat="1" ht="78.75" customHeight="1" x14ac:dyDescent="0.2">
      <c r="A15" s="838">
        <v>9</v>
      </c>
      <c r="B15" s="1285" t="s">
        <v>1213</v>
      </c>
      <c r="C15" s="836"/>
      <c r="D15" s="836" t="s">
        <v>1214</v>
      </c>
      <c r="E15" s="1301">
        <v>2369300</v>
      </c>
      <c r="F15" s="829" t="s">
        <v>1881</v>
      </c>
      <c r="G15" s="829" t="s">
        <v>1882</v>
      </c>
      <c r="H15" s="1028" t="s">
        <v>1230</v>
      </c>
      <c r="I15" s="1302">
        <v>1168</v>
      </c>
      <c r="J15" s="1025">
        <v>100</v>
      </c>
      <c r="K15" s="1287">
        <v>0.05</v>
      </c>
      <c r="L15" s="1287">
        <v>0.05</v>
      </c>
      <c r="M15" s="1299" t="s">
        <v>1891</v>
      </c>
      <c r="N15" s="1288" t="s">
        <v>1889</v>
      </c>
      <c r="O15" s="1290">
        <v>411360</v>
      </c>
      <c r="P15" s="1291"/>
      <c r="Q15" s="1030">
        <f t="shared" si="0"/>
        <v>411360</v>
      </c>
      <c r="R15" s="1292"/>
      <c r="S15" s="1292"/>
      <c r="T15" s="1293" t="s">
        <v>1214</v>
      </c>
      <c r="U15" s="1303" t="s">
        <v>1239</v>
      </c>
      <c r="V15" s="1283"/>
      <c r="W15" s="1283"/>
      <c r="X15" s="1283"/>
      <c r="Y15" s="1283"/>
      <c r="Z15" s="1283"/>
      <c r="AA15" s="1283"/>
      <c r="AB15" s="1283"/>
      <c r="AC15" s="1283"/>
      <c r="AD15" s="1283"/>
      <c r="AE15" s="1283"/>
      <c r="AF15" s="1283"/>
      <c r="AG15" s="1283"/>
      <c r="AH15" s="1283"/>
      <c r="AI15" s="1283"/>
      <c r="AJ15" s="1283"/>
      <c r="AK15" s="1283"/>
      <c r="AL15" s="1283"/>
      <c r="AM15" s="1283"/>
      <c r="AN15" s="1283"/>
      <c r="AO15" s="1283"/>
      <c r="AP15" s="1283"/>
      <c r="AQ15" s="1283"/>
      <c r="AR15" s="1283"/>
      <c r="AS15" s="1283"/>
      <c r="AT15" s="1283"/>
      <c r="AU15" s="1283"/>
      <c r="AV15" s="1283"/>
      <c r="AW15" s="1283"/>
      <c r="AX15" s="1283"/>
      <c r="AY15" s="1283"/>
      <c r="AZ15" s="1283"/>
      <c r="BA15" s="1283"/>
      <c r="BB15" s="1283"/>
      <c r="BC15" s="1283"/>
      <c r="BD15" s="1283"/>
      <c r="BE15" s="1283"/>
      <c r="BF15" s="1283"/>
      <c r="BG15" s="1283"/>
      <c r="BH15" s="1283"/>
      <c r="BI15" s="1283"/>
      <c r="BJ15" s="1283"/>
      <c r="BK15" s="1283"/>
      <c r="BL15" s="1283"/>
      <c r="BM15" s="1283"/>
      <c r="BN15" s="1283"/>
      <c r="BO15" s="1283"/>
      <c r="BP15" s="1283"/>
      <c r="BQ15" s="1283"/>
      <c r="BR15" s="1283"/>
      <c r="BS15" s="1283"/>
      <c r="BT15" s="1283"/>
      <c r="BU15" s="1283"/>
      <c r="BV15" s="1283"/>
      <c r="BW15" s="1283"/>
      <c r="BX15" s="1283"/>
      <c r="BY15" s="1283"/>
      <c r="BZ15" s="1283"/>
      <c r="CA15" s="1283"/>
      <c r="CB15" s="1283"/>
      <c r="CC15" s="1283"/>
      <c r="CD15" s="1283"/>
    </row>
    <row r="16" spans="1:99" s="508" customFormat="1" ht="38.25" customHeight="1" thickBot="1" x14ac:dyDescent="0.25">
      <c r="A16" s="1719" t="s">
        <v>91</v>
      </c>
      <c r="B16" s="1720"/>
      <c r="C16" s="1721"/>
      <c r="D16" s="1722" t="s">
        <v>11</v>
      </c>
      <c r="E16" s="1723"/>
      <c r="F16" s="1723"/>
      <c r="G16" s="1723"/>
      <c r="H16" s="1724"/>
      <c r="I16" s="1722" t="s">
        <v>12</v>
      </c>
      <c r="J16" s="1723"/>
      <c r="K16" s="1723"/>
      <c r="L16" s="1723"/>
      <c r="M16" s="1723"/>
      <c r="N16" s="1723"/>
      <c r="O16" s="1724"/>
      <c r="P16" s="1215"/>
      <c r="Q16" s="1723" t="s">
        <v>384</v>
      </c>
      <c r="R16" s="1723"/>
      <c r="S16" s="1723"/>
      <c r="T16" s="1723"/>
      <c r="U16" s="1724"/>
    </row>
    <row r="17" spans="1:21" s="508" customFormat="1" ht="63" customHeight="1" x14ac:dyDescent="0.2">
      <c r="A17" s="1725" t="s">
        <v>14</v>
      </c>
      <c r="B17" s="1726"/>
      <c r="C17" s="1726"/>
      <c r="D17" s="1727" t="s">
        <v>1178</v>
      </c>
      <c r="E17" s="1727"/>
      <c r="F17" s="1727"/>
      <c r="G17" s="1727"/>
      <c r="H17" s="1727"/>
      <c r="I17" s="1728" t="s">
        <v>1179</v>
      </c>
      <c r="J17" s="1728"/>
      <c r="K17" s="1728"/>
      <c r="L17" s="1728"/>
      <c r="M17" s="1728"/>
      <c r="N17" s="1728"/>
      <c r="O17" s="1728"/>
      <c r="P17" s="1729"/>
      <c r="Q17" s="1729"/>
      <c r="R17" s="1729"/>
      <c r="S17" s="1729"/>
      <c r="T17" s="1729"/>
      <c r="U17" s="1730"/>
    </row>
    <row r="18" spans="1:21" s="508" customFormat="1" ht="63" customHeight="1" x14ac:dyDescent="0.2">
      <c r="A18" s="1731" t="s">
        <v>286</v>
      </c>
      <c r="B18" s="1732"/>
      <c r="C18" s="1732"/>
      <c r="D18" s="1733" t="s">
        <v>1180</v>
      </c>
      <c r="E18" s="1733"/>
      <c r="F18" s="1733"/>
      <c r="G18" s="1733"/>
      <c r="H18" s="1733"/>
      <c r="I18" s="1734" t="s">
        <v>1181</v>
      </c>
      <c r="J18" s="1734"/>
      <c r="K18" s="1734"/>
      <c r="L18" s="1734"/>
      <c r="M18" s="1734"/>
      <c r="N18" s="1734"/>
      <c r="O18" s="1734"/>
      <c r="P18" s="1735"/>
      <c r="Q18" s="1735"/>
      <c r="R18" s="1735"/>
      <c r="S18" s="1735"/>
      <c r="T18" s="1735"/>
      <c r="U18" s="1736"/>
    </row>
    <row r="19" spans="1:21" ht="63" customHeight="1" thickBot="1" x14ac:dyDescent="0.25">
      <c r="A19" s="1737" t="s">
        <v>287</v>
      </c>
      <c r="B19" s="1738"/>
      <c r="C19" s="1738"/>
      <c r="D19" s="1739" t="s">
        <v>1570</v>
      </c>
      <c r="E19" s="1739"/>
      <c r="F19" s="1739"/>
      <c r="G19" s="1739"/>
      <c r="H19" s="1739"/>
      <c r="I19" s="1740" t="s">
        <v>1571</v>
      </c>
      <c r="J19" s="1740"/>
      <c r="K19" s="1740"/>
      <c r="L19" s="1740"/>
      <c r="M19" s="1740"/>
      <c r="N19" s="1740"/>
      <c r="O19" s="1740"/>
      <c r="P19" s="1741"/>
      <c r="Q19" s="1741"/>
      <c r="R19" s="1741"/>
      <c r="S19" s="1741"/>
      <c r="T19" s="1741"/>
      <c r="U19" s="1742"/>
    </row>
    <row r="20" spans="1:21" ht="19.5" customHeight="1" x14ac:dyDescent="0.2">
      <c r="B20" s="1743" t="s">
        <v>1890</v>
      </c>
      <c r="C20" s="1743"/>
      <c r="D20" s="1743"/>
      <c r="E20" s="1743"/>
      <c r="F20" s="1743"/>
      <c r="G20" s="1743"/>
      <c r="H20" s="1743"/>
      <c r="I20" s="1743"/>
      <c r="J20" s="1743"/>
      <c r="K20" s="1743"/>
      <c r="L20" s="1743"/>
      <c r="M20" s="1743"/>
      <c r="N20" s="1743"/>
      <c r="O20" s="1743"/>
      <c r="P20" s="511"/>
      <c r="Q20" s="511"/>
      <c r="R20" s="510"/>
      <c r="S20" s="510"/>
      <c r="T20" s="510"/>
      <c r="U20" s="1032"/>
    </row>
    <row r="21" spans="1:21" x14ac:dyDescent="0.2">
      <c r="B21" s="512"/>
      <c r="C21" s="512"/>
      <c r="D21" s="512"/>
      <c r="E21" s="512"/>
      <c r="F21" s="512"/>
      <c r="G21" s="512"/>
      <c r="H21" s="1033"/>
      <c r="I21" s="1034"/>
      <c r="J21" s="1034"/>
      <c r="K21" s="1034"/>
      <c r="L21" s="1034"/>
      <c r="M21" s="513"/>
      <c r="N21" s="513"/>
      <c r="O21" s="513"/>
      <c r="P21" s="513"/>
      <c r="Q21" s="513"/>
      <c r="R21" s="512"/>
      <c r="S21" s="512"/>
      <c r="T21" s="512"/>
      <c r="U21" s="1034"/>
    </row>
    <row r="22" spans="1:21" x14ac:dyDescent="0.2">
      <c r="B22" s="512"/>
      <c r="C22" s="512"/>
      <c r="D22" s="512"/>
      <c r="E22" s="512"/>
      <c r="F22" s="512"/>
      <c r="G22" s="512"/>
      <c r="H22" s="1033"/>
      <c r="I22" s="1034"/>
      <c r="J22" s="1034"/>
      <c r="K22" s="1034"/>
      <c r="L22" s="1034"/>
      <c r="M22" s="513"/>
      <c r="N22" s="513"/>
      <c r="O22" s="513"/>
      <c r="P22" s="513"/>
      <c r="Q22" s="513"/>
      <c r="R22" s="512"/>
      <c r="S22" s="512"/>
      <c r="T22" s="512"/>
      <c r="U22" s="1034"/>
    </row>
    <row r="23" spans="1:21" x14ac:dyDescent="0.2">
      <c r="B23" s="512"/>
      <c r="C23" s="512"/>
      <c r="D23" s="512"/>
      <c r="E23" s="512"/>
      <c r="F23" s="512"/>
      <c r="G23" s="512"/>
      <c r="H23" s="1033"/>
      <c r="I23" s="1034"/>
      <c r="J23" s="1034"/>
      <c r="K23" s="1034"/>
      <c r="L23" s="1034"/>
      <c r="M23" s="513"/>
      <c r="N23" s="513"/>
      <c r="O23" s="513"/>
      <c r="P23" s="513"/>
      <c r="Q23" s="513"/>
      <c r="R23" s="512"/>
      <c r="S23" s="512"/>
      <c r="T23" s="512"/>
      <c r="U23" s="1034"/>
    </row>
    <row r="24" spans="1:21" x14ac:dyDescent="0.2">
      <c r="B24" s="512"/>
      <c r="C24" s="512"/>
      <c r="D24" s="512"/>
      <c r="E24" s="512"/>
      <c r="F24" s="512"/>
      <c r="G24" s="512"/>
      <c r="H24" s="1033"/>
      <c r="I24" s="1034"/>
      <c r="J24" s="1034"/>
      <c r="K24" s="1034"/>
      <c r="L24" s="1034"/>
      <c r="M24" s="513"/>
      <c r="N24" s="513"/>
      <c r="O24" s="513"/>
      <c r="P24" s="513"/>
      <c r="Q24" s="513"/>
      <c r="R24" s="512"/>
      <c r="S24" s="512"/>
      <c r="T24" s="512"/>
      <c r="U24" s="1034"/>
    </row>
    <row r="25" spans="1:21" x14ac:dyDescent="0.2">
      <c r="B25" s="512"/>
      <c r="C25" s="512"/>
      <c r="D25" s="512"/>
      <c r="E25" s="512"/>
      <c r="F25" s="512"/>
      <c r="G25" s="512"/>
      <c r="H25" s="1033"/>
      <c r="I25" s="1034"/>
      <c r="J25" s="1034"/>
      <c r="K25" s="1034"/>
      <c r="L25" s="1034"/>
      <c r="M25" s="513"/>
      <c r="N25" s="513"/>
      <c r="O25" s="513"/>
      <c r="P25" s="513"/>
      <c r="Q25" s="513"/>
      <c r="R25" s="512"/>
      <c r="S25" s="512"/>
      <c r="T25" s="512"/>
      <c r="U25" s="1034"/>
    </row>
    <row r="26" spans="1:21" x14ac:dyDescent="0.2">
      <c r="B26" s="512"/>
      <c r="C26" s="512"/>
      <c r="D26" s="512"/>
      <c r="E26" s="512"/>
      <c r="F26" s="512"/>
      <c r="G26" s="512"/>
      <c r="H26" s="1033"/>
      <c r="I26" s="1034"/>
      <c r="J26" s="1034"/>
      <c r="K26" s="1034"/>
      <c r="L26" s="1034"/>
      <c r="M26" s="513"/>
      <c r="N26" s="513"/>
      <c r="O26" s="513"/>
      <c r="P26" s="513"/>
      <c r="Q26" s="513"/>
      <c r="R26" s="512"/>
      <c r="S26" s="512"/>
      <c r="T26" s="512"/>
      <c r="U26" s="1034"/>
    </row>
    <row r="27" spans="1:21" x14ac:dyDescent="0.2">
      <c r="B27" s="512"/>
      <c r="C27" s="512"/>
      <c r="D27" s="512"/>
      <c r="E27" s="512"/>
      <c r="F27" s="512"/>
      <c r="G27" s="512"/>
      <c r="H27" s="1033"/>
      <c r="I27" s="1034"/>
      <c r="J27" s="1034"/>
      <c r="K27" s="1034"/>
      <c r="L27" s="1034"/>
      <c r="M27" s="513"/>
      <c r="N27" s="513"/>
      <c r="O27" s="513"/>
      <c r="P27" s="513"/>
      <c r="Q27" s="513"/>
      <c r="R27" s="512"/>
      <c r="S27" s="512"/>
      <c r="T27" s="512"/>
      <c r="U27" s="1034"/>
    </row>
    <row r="28" spans="1:21" x14ac:dyDescent="0.2">
      <c r="B28" s="512"/>
      <c r="C28" s="512"/>
      <c r="D28" s="512"/>
      <c r="E28" s="512"/>
      <c r="F28" s="512"/>
      <c r="G28" s="512"/>
      <c r="H28" s="1033"/>
      <c r="I28" s="1034"/>
      <c r="J28" s="1034"/>
      <c r="K28" s="1034"/>
      <c r="L28" s="1034"/>
      <c r="M28" s="514"/>
      <c r="N28" s="514"/>
      <c r="O28" s="514"/>
      <c r="P28" s="514"/>
      <c r="Q28" s="514"/>
      <c r="R28" s="512"/>
      <c r="S28" s="512"/>
      <c r="T28" s="512"/>
      <c r="U28" s="1034"/>
    </row>
    <row r="29" spans="1:21" x14ac:dyDescent="0.2">
      <c r="B29" s="512"/>
      <c r="C29" s="512"/>
      <c r="D29" s="512"/>
      <c r="E29" s="512"/>
      <c r="F29" s="512"/>
      <c r="G29" s="512"/>
      <c r="H29" s="1033"/>
      <c r="I29" s="1034"/>
      <c r="J29" s="1034"/>
      <c r="K29" s="1034"/>
      <c r="L29" s="1034"/>
      <c r="M29" s="514"/>
      <c r="N29" s="514"/>
      <c r="O29" s="514"/>
      <c r="P29" s="514"/>
      <c r="Q29" s="514"/>
      <c r="R29" s="512"/>
      <c r="S29" s="512"/>
      <c r="T29" s="512"/>
      <c r="U29" s="1034"/>
    </row>
    <row r="30" spans="1:21" x14ac:dyDescent="0.2">
      <c r="B30" s="512"/>
      <c r="C30" s="512"/>
      <c r="D30" s="512"/>
      <c r="E30" s="512"/>
      <c r="F30" s="512"/>
      <c r="G30" s="512"/>
      <c r="H30" s="1033"/>
      <c r="I30" s="1034"/>
      <c r="J30" s="1034"/>
      <c r="K30" s="1034"/>
      <c r="L30" s="1034"/>
      <c r="M30" s="514"/>
      <c r="N30" s="514"/>
      <c r="O30" s="514"/>
      <c r="P30" s="514"/>
      <c r="Q30" s="514"/>
      <c r="R30" s="512"/>
      <c r="S30" s="512"/>
      <c r="T30" s="512"/>
      <c r="U30" s="1034"/>
    </row>
    <row r="31" spans="1:21" x14ac:dyDescent="0.2">
      <c r="B31" s="512"/>
      <c r="C31" s="512"/>
      <c r="D31" s="512"/>
      <c r="E31" s="512"/>
      <c r="F31" s="512"/>
      <c r="G31" s="512"/>
      <c r="H31" s="1033"/>
      <c r="I31" s="1034"/>
      <c r="J31" s="1034"/>
      <c r="K31" s="1034"/>
      <c r="L31" s="1034"/>
      <c r="M31" s="514"/>
      <c r="N31" s="514"/>
      <c r="O31" s="514"/>
      <c r="P31" s="514"/>
      <c r="Q31" s="514"/>
      <c r="R31" s="512"/>
      <c r="S31" s="512"/>
      <c r="T31" s="512"/>
      <c r="U31" s="1034"/>
    </row>
    <row r="32" spans="1:21" x14ac:dyDescent="0.2">
      <c r="B32" s="512"/>
      <c r="C32" s="512"/>
      <c r="D32" s="512"/>
      <c r="E32" s="512"/>
      <c r="F32" s="512"/>
      <c r="G32" s="512"/>
      <c r="H32" s="1033"/>
      <c r="I32" s="1034"/>
      <c r="J32" s="1034"/>
      <c r="K32" s="1034"/>
      <c r="L32" s="1034"/>
      <c r="M32" s="514"/>
      <c r="N32" s="514"/>
      <c r="O32" s="514"/>
      <c r="P32" s="514"/>
      <c r="Q32" s="514"/>
      <c r="R32" s="512"/>
      <c r="S32" s="512"/>
      <c r="T32" s="512"/>
      <c r="U32" s="1034"/>
    </row>
    <row r="33" spans="2:21" x14ac:dyDescent="0.2">
      <c r="B33" s="512"/>
      <c r="C33" s="512"/>
      <c r="D33" s="512"/>
      <c r="E33" s="512"/>
      <c r="F33" s="512"/>
      <c r="G33" s="512"/>
      <c r="H33" s="1033"/>
      <c r="I33" s="1034"/>
      <c r="J33" s="1034"/>
      <c r="K33" s="1034"/>
      <c r="L33" s="1034"/>
      <c r="M33" s="514"/>
      <c r="N33" s="514"/>
      <c r="O33" s="514"/>
      <c r="P33" s="514"/>
      <c r="Q33" s="514"/>
      <c r="R33" s="512"/>
      <c r="S33" s="512"/>
      <c r="T33" s="512"/>
      <c r="U33" s="1034"/>
    </row>
    <row r="34" spans="2:21" x14ac:dyDescent="0.2">
      <c r="B34" s="512"/>
      <c r="C34" s="512"/>
      <c r="D34" s="512"/>
      <c r="E34" s="512"/>
      <c r="F34" s="512"/>
      <c r="G34" s="512"/>
      <c r="H34" s="1033"/>
      <c r="I34" s="1034"/>
      <c r="J34" s="1034"/>
      <c r="K34" s="1034"/>
      <c r="L34" s="1034"/>
      <c r="M34" s="514"/>
      <c r="N34" s="514"/>
      <c r="O34" s="514"/>
      <c r="P34" s="514"/>
      <c r="Q34" s="514"/>
      <c r="R34" s="512"/>
      <c r="S34" s="512"/>
      <c r="T34" s="512"/>
      <c r="U34" s="1034"/>
    </row>
    <row r="35" spans="2:21" x14ac:dyDescent="0.2">
      <c r="B35" s="512"/>
      <c r="C35" s="512"/>
      <c r="D35" s="512"/>
      <c r="E35" s="512"/>
      <c r="F35" s="512"/>
      <c r="G35" s="512"/>
      <c r="H35" s="1033"/>
      <c r="I35" s="1034"/>
      <c r="J35" s="1034"/>
      <c r="K35" s="1034"/>
      <c r="L35" s="1034"/>
      <c r="M35" s="514"/>
      <c r="N35" s="514"/>
      <c r="O35" s="514"/>
      <c r="P35" s="514"/>
      <c r="Q35" s="514"/>
      <c r="R35" s="512"/>
      <c r="S35" s="512"/>
      <c r="T35" s="512"/>
      <c r="U35" s="1034"/>
    </row>
    <row r="36" spans="2:21" x14ac:dyDescent="0.2">
      <c r="B36" s="512"/>
      <c r="C36" s="512"/>
      <c r="D36" s="512"/>
      <c r="E36" s="512"/>
      <c r="F36" s="512"/>
      <c r="G36" s="512"/>
      <c r="H36" s="1033"/>
      <c r="I36" s="1034"/>
      <c r="J36" s="1034"/>
      <c r="K36" s="1034"/>
      <c r="L36" s="1034"/>
      <c r="M36" s="514"/>
      <c r="N36" s="514"/>
      <c r="O36" s="514"/>
      <c r="P36" s="514"/>
      <c r="Q36" s="514"/>
      <c r="R36" s="512"/>
      <c r="S36" s="512"/>
      <c r="T36" s="512"/>
      <c r="U36" s="1034"/>
    </row>
    <row r="37" spans="2:21" x14ac:dyDescent="0.2">
      <c r="B37" s="512"/>
      <c r="C37" s="512"/>
      <c r="D37" s="512"/>
      <c r="E37" s="512"/>
      <c r="F37" s="512"/>
      <c r="G37" s="512"/>
      <c r="H37" s="1033"/>
      <c r="I37" s="1034"/>
      <c r="J37" s="1034"/>
      <c r="K37" s="1034"/>
      <c r="L37" s="1034"/>
      <c r="M37" s="514"/>
      <c r="N37" s="514"/>
      <c r="O37" s="514"/>
      <c r="P37" s="514"/>
      <c r="Q37" s="514"/>
      <c r="R37" s="512"/>
      <c r="S37" s="512"/>
      <c r="T37" s="512"/>
      <c r="U37" s="1034"/>
    </row>
    <row r="38" spans="2:21" x14ac:dyDescent="0.2">
      <c r="B38" s="512"/>
      <c r="C38" s="512"/>
      <c r="D38" s="512"/>
      <c r="E38" s="512"/>
      <c r="F38" s="512"/>
      <c r="G38" s="512"/>
      <c r="H38" s="1033"/>
      <c r="I38" s="1034"/>
      <c r="J38" s="1034"/>
      <c r="K38" s="1034"/>
      <c r="L38" s="1034"/>
      <c r="M38" s="514"/>
      <c r="N38" s="514"/>
      <c r="O38" s="514"/>
      <c r="P38" s="514"/>
      <c r="Q38" s="514"/>
      <c r="R38" s="512"/>
      <c r="S38" s="512"/>
      <c r="T38" s="512"/>
      <c r="U38" s="1034"/>
    </row>
    <row r="39" spans="2:21" x14ac:dyDescent="0.2">
      <c r="B39" s="512"/>
      <c r="C39" s="512"/>
      <c r="D39" s="512"/>
      <c r="E39" s="512"/>
      <c r="F39" s="512"/>
      <c r="G39" s="512"/>
      <c r="H39" s="1033"/>
      <c r="I39" s="1034"/>
      <c r="J39" s="1034"/>
      <c r="K39" s="1034"/>
      <c r="L39" s="1034"/>
      <c r="M39" s="514"/>
      <c r="N39" s="514"/>
      <c r="O39" s="514"/>
      <c r="P39" s="514"/>
      <c r="Q39" s="514"/>
      <c r="R39" s="512"/>
      <c r="S39" s="512"/>
      <c r="T39" s="512"/>
      <c r="U39" s="1034"/>
    </row>
    <row r="40" spans="2:21" x14ac:dyDescent="0.2">
      <c r="B40" s="512"/>
      <c r="C40" s="512"/>
      <c r="D40" s="512"/>
      <c r="E40" s="512"/>
      <c r="F40" s="512"/>
      <c r="G40" s="512"/>
      <c r="H40" s="1033"/>
      <c r="I40" s="1034"/>
      <c r="J40" s="1034"/>
      <c r="K40" s="1034"/>
      <c r="L40" s="1034"/>
      <c r="M40" s="514"/>
      <c r="N40" s="514"/>
      <c r="O40" s="514"/>
      <c r="P40" s="514"/>
      <c r="Q40" s="514"/>
      <c r="R40" s="512"/>
      <c r="S40" s="512"/>
      <c r="T40" s="512"/>
      <c r="U40" s="1034"/>
    </row>
    <row r="41" spans="2:21" x14ac:dyDescent="0.2">
      <c r="B41" s="512"/>
      <c r="C41" s="512"/>
      <c r="D41" s="512"/>
      <c r="E41" s="512"/>
      <c r="F41" s="512"/>
      <c r="G41" s="512"/>
      <c r="H41" s="1033"/>
      <c r="I41" s="1034"/>
      <c r="J41" s="1034"/>
      <c r="K41" s="1034"/>
      <c r="L41" s="1034"/>
      <c r="M41" s="514"/>
      <c r="N41" s="514"/>
      <c r="O41" s="514"/>
      <c r="P41" s="514"/>
      <c r="Q41" s="514"/>
      <c r="R41" s="512"/>
      <c r="S41" s="512"/>
      <c r="T41" s="512"/>
      <c r="U41" s="1034"/>
    </row>
    <row r="42" spans="2:21" x14ac:dyDescent="0.2">
      <c r="B42" s="512"/>
      <c r="C42" s="512"/>
      <c r="D42" s="512"/>
      <c r="E42" s="512"/>
      <c r="F42" s="512"/>
      <c r="G42" s="512"/>
      <c r="H42" s="1033"/>
      <c r="I42" s="1034"/>
      <c r="J42" s="1034"/>
      <c r="K42" s="1034"/>
      <c r="L42" s="1034"/>
      <c r="M42" s="514"/>
      <c r="N42" s="514"/>
      <c r="O42" s="514"/>
      <c r="P42" s="514"/>
      <c r="Q42" s="514"/>
      <c r="R42" s="512"/>
      <c r="S42" s="512"/>
      <c r="T42" s="512"/>
      <c r="U42" s="1034"/>
    </row>
    <row r="43" spans="2:21" x14ac:dyDescent="0.2">
      <c r="B43" s="512"/>
      <c r="C43" s="512"/>
      <c r="D43" s="512"/>
      <c r="E43" s="512"/>
      <c r="F43" s="512"/>
      <c r="G43" s="512"/>
      <c r="H43" s="1033"/>
      <c r="I43" s="1034"/>
      <c r="J43" s="1034"/>
      <c r="K43" s="1034"/>
      <c r="L43" s="1034"/>
      <c r="M43" s="514"/>
      <c r="N43" s="514"/>
      <c r="O43" s="514"/>
      <c r="P43" s="514"/>
      <c r="Q43" s="514"/>
      <c r="R43" s="512"/>
      <c r="S43" s="512"/>
      <c r="T43" s="512"/>
      <c r="U43" s="1034"/>
    </row>
    <row r="44" spans="2:21" x14ac:dyDescent="0.2">
      <c r="B44" s="512"/>
      <c r="C44" s="512"/>
      <c r="D44" s="512"/>
      <c r="E44" s="512"/>
      <c r="F44" s="512"/>
      <c r="G44" s="512"/>
      <c r="H44" s="1033"/>
      <c r="I44" s="1034"/>
      <c r="J44" s="1034"/>
      <c r="K44" s="1034"/>
      <c r="L44" s="1034"/>
      <c r="M44" s="514"/>
      <c r="N44" s="514"/>
      <c r="O44" s="514"/>
      <c r="P44" s="514"/>
      <c r="Q44" s="514"/>
      <c r="R44" s="512"/>
      <c r="S44" s="512"/>
      <c r="T44" s="512"/>
      <c r="U44" s="1034"/>
    </row>
    <row r="45" spans="2:21" x14ac:dyDescent="0.2">
      <c r="B45" s="512"/>
      <c r="C45" s="512"/>
      <c r="D45" s="512"/>
      <c r="E45" s="512"/>
      <c r="F45" s="512"/>
      <c r="G45" s="512"/>
      <c r="H45" s="1033"/>
      <c r="I45" s="1034"/>
      <c r="J45" s="1034"/>
      <c r="K45" s="1034"/>
      <c r="L45" s="1034"/>
      <c r="M45" s="514"/>
      <c r="N45" s="514"/>
      <c r="O45" s="514"/>
      <c r="P45" s="514"/>
      <c r="Q45" s="514"/>
      <c r="R45" s="512"/>
      <c r="S45" s="512"/>
      <c r="T45" s="512"/>
      <c r="U45" s="1034"/>
    </row>
    <row r="46" spans="2:21" x14ac:dyDescent="0.2">
      <c r="B46" s="512"/>
      <c r="C46" s="512"/>
      <c r="D46" s="512"/>
      <c r="E46" s="512"/>
      <c r="F46" s="512"/>
      <c r="G46" s="512"/>
      <c r="H46" s="1033"/>
      <c r="I46" s="1034"/>
      <c r="J46" s="1034"/>
      <c r="K46" s="1034"/>
      <c r="L46" s="1034"/>
      <c r="M46" s="514"/>
      <c r="N46" s="514"/>
      <c r="O46" s="514"/>
      <c r="P46" s="514"/>
      <c r="Q46" s="514"/>
      <c r="R46" s="512"/>
      <c r="S46" s="512"/>
      <c r="T46" s="512"/>
      <c r="U46" s="1034"/>
    </row>
    <row r="47" spans="2:21" x14ac:dyDescent="0.2">
      <c r="B47" s="512"/>
      <c r="C47" s="512"/>
      <c r="D47" s="512"/>
      <c r="E47" s="512"/>
      <c r="F47" s="512"/>
      <c r="G47" s="512"/>
      <c r="H47" s="1033"/>
      <c r="I47" s="1034"/>
      <c r="J47" s="1034"/>
      <c r="K47" s="1034"/>
      <c r="L47" s="1034"/>
      <c r="M47" s="514"/>
      <c r="N47" s="514"/>
      <c r="O47" s="514"/>
      <c r="P47" s="514"/>
      <c r="Q47" s="514"/>
      <c r="R47" s="512"/>
      <c r="S47" s="512"/>
      <c r="T47" s="512"/>
      <c r="U47" s="1034"/>
    </row>
    <row r="48" spans="2:21" x14ac:dyDescent="0.2">
      <c r="B48" s="512"/>
      <c r="C48" s="512"/>
      <c r="D48" s="512"/>
      <c r="E48" s="512"/>
      <c r="F48" s="512"/>
      <c r="G48" s="512"/>
      <c r="H48" s="1033"/>
      <c r="I48" s="1034"/>
      <c r="J48" s="1034"/>
      <c r="K48" s="1034"/>
      <c r="L48" s="1034"/>
      <c r="M48" s="514"/>
      <c r="N48" s="514"/>
      <c r="O48" s="514"/>
      <c r="P48" s="514"/>
      <c r="Q48" s="514"/>
      <c r="R48" s="512"/>
      <c r="S48" s="512"/>
      <c r="T48" s="512"/>
      <c r="U48" s="1034"/>
    </row>
    <row r="49" spans="2:21" x14ac:dyDescent="0.2">
      <c r="B49" s="512"/>
      <c r="C49" s="512"/>
      <c r="D49" s="512"/>
      <c r="E49" s="512"/>
      <c r="F49" s="512"/>
      <c r="G49" s="512"/>
      <c r="H49" s="1033"/>
      <c r="I49" s="1034"/>
      <c r="J49" s="1034"/>
      <c r="K49" s="1034"/>
      <c r="L49" s="1034"/>
      <c r="M49" s="514"/>
      <c r="N49" s="514"/>
      <c r="O49" s="514"/>
      <c r="P49" s="514"/>
      <c r="Q49" s="514"/>
      <c r="R49" s="512"/>
      <c r="S49" s="512"/>
      <c r="T49" s="512"/>
      <c r="U49" s="1034"/>
    </row>
    <row r="50" spans="2:21" x14ac:dyDescent="0.2">
      <c r="B50" s="512"/>
      <c r="C50" s="512"/>
      <c r="D50" s="512"/>
      <c r="E50" s="512"/>
      <c r="F50" s="512"/>
      <c r="G50" s="512"/>
      <c r="H50" s="1033"/>
      <c r="I50" s="1034"/>
      <c r="J50" s="1034"/>
      <c r="K50" s="1034"/>
      <c r="L50" s="1034"/>
      <c r="M50" s="514"/>
      <c r="N50" s="514"/>
      <c r="O50" s="514"/>
      <c r="P50" s="514"/>
      <c r="Q50" s="514"/>
      <c r="R50" s="512"/>
      <c r="S50" s="512"/>
      <c r="T50" s="512"/>
      <c r="U50" s="1034"/>
    </row>
    <row r="51" spans="2:21" x14ac:dyDescent="0.2">
      <c r="B51" s="512"/>
      <c r="C51" s="512"/>
      <c r="D51" s="512"/>
      <c r="E51" s="512"/>
      <c r="F51" s="512"/>
      <c r="G51" s="512"/>
      <c r="H51" s="1033"/>
      <c r="I51" s="1034"/>
      <c r="J51" s="1034"/>
      <c r="K51" s="1034"/>
      <c r="L51" s="1034"/>
      <c r="M51" s="514"/>
      <c r="N51" s="514"/>
      <c r="O51" s="514"/>
      <c r="P51" s="514"/>
      <c r="Q51" s="514"/>
      <c r="R51" s="512"/>
      <c r="S51" s="512"/>
      <c r="T51" s="512"/>
      <c r="U51" s="1034"/>
    </row>
    <row r="52" spans="2:21" x14ac:dyDescent="0.2">
      <c r="B52" s="512"/>
      <c r="C52" s="512"/>
      <c r="D52" s="512"/>
      <c r="E52" s="512"/>
      <c r="F52" s="512"/>
      <c r="G52" s="512"/>
      <c r="H52" s="1033"/>
      <c r="I52" s="1034"/>
      <c r="J52" s="1034"/>
      <c r="K52" s="1034"/>
      <c r="L52" s="1034"/>
      <c r="M52" s="514"/>
      <c r="N52" s="514"/>
      <c r="O52" s="514"/>
      <c r="P52" s="514"/>
      <c r="Q52" s="514"/>
      <c r="R52" s="512"/>
      <c r="S52" s="512"/>
      <c r="T52" s="512"/>
      <c r="U52" s="1034"/>
    </row>
    <row r="53" spans="2:21" x14ac:dyDescent="0.2">
      <c r="B53" s="512"/>
      <c r="C53" s="512"/>
      <c r="D53" s="512"/>
      <c r="E53" s="512"/>
      <c r="F53" s="512"/>
      <c r="G53" s="512"/>
      <c r="H53" s="1033"/>
      <c r="I53" s="1034"/>
      <c r="J53" s="1034"/>
      <c r="K53" s="1034"/>
      <c r="L53" s="1034"/>
      <c r="M53" s="514"/>
      <c r="N53" s="514"/>
      <c r="O53" s="514"/>
      <c r="P53" s="514"/>
      <c r="Q53" s="514"/>
      <c r="R53" s="512"/>
      <c r="S53" s="512"/>
      <c r="T53" s="512"/>
      <c r="U53" s="1034"/>
    </row>
    <row r="54" spans="2:21" x14ac:dyDescent="0.2">
      <c r="B54" s="512"/>
      <c r="C54" s="512"/>
      <c r="D54" s="512"/>
      <c r="E54" s="512"/>
      <c r="F54" s="512"/>
      <c r="G54" s="512"/>
      <c r="H54" s="1033"/>
      <c r="I54" s="1034"/>
      <c r="J54" s="1034"/>
      <c r="K54" s="1034"/>
      <c r="L54" s="1034"/>
      <c r="M54" s="514"/>
      <c r="N54" s="514"/>
      <c r="O54" s="514"/>
      <c r="P54" s="514"/>
      <c r="Q54" s="514"/>
      <c r="R54" s="512"/>
      <c r="S54" s="512"/>
      <c r="T54" s="512"/>
      <c r="U54" s="1034"/>
    </row>
    <row r="55" spans="2:21" x14ac:dyDescent="0.2">
      <c r="B55" s="512"/>
      <c r="C55" s="512"/>
      <c r="D55" s="512"/>
      <c r="E55" s="512"/>
      <c r="F55" s="512"/>
      <c r="G55" s="512"/>
      <c r="H55" s="1033"/>
      <c r="I55" s="1034"/>
      <c r="J55" s="1034"/>
      <c r="K55" s="1034"/>
      <c r="L55" s="1034"/>
      <c r="M55" s="514"/>
      <c r="N55" s="514"/>
      <c r="O55" s="514"/>
      <c r="P55" s="514"/>
      <c r="Q55" s="514"/>
      <c r="R55" s="512"/>
      <c r="S55" s="512"/>
      <c r="T55" s="512"/>
      <c r="U55" s="1034"/>
    </row>
    <row r="56" spans="2:21" x14ac:dyDescent="0.2">
      <c r="B56" s="512"/>
      <c r="C56" s="512"/>
      <c r="D56" s="512"/>
      <c r="E56" s="512"/>
      <c r="F56" s="512"/>
      <c r="G56" s="512"/>
      <c r="H56" s="1033"/>
      <c r="I56" s="1034"/>
      <c r="J56" s="1034"/>
      <c r="K56" s="1034"/>
      <c r="L56" s="1034"/>
      <c r="M56" s="514"/>
      <c r="N56" s="514"/>
      <c r="O56" s="514"/>
      <c r="P56" s="514"/>
      <c r="Q56" s="514"/>
      <c r="R56" s="512"/>
      <c r="S56" s="512"/>
      <c r="T56" s="512"/>
      <c r="U56" s="1034"/>
    </row>
    <row r="57" spans="2:21" x14ac:dyDescent="0.2">
      <c r="B57" s="512"/>
      <c r="C57" s="512"/>
      <c r="D57" s="512"/>
      <c r="E57" s="512"/>
      <c r="F57" s="512"/>
      <c r="G57" s="512"/>
      <c r="H57" s="1033"/>
      <c r="I57" s="1034"/>
      <c r="J57" s="1034"/>
      <c r="K57" s="1034"/>
      <c r="L57" s="1034"/>
      <c r="M57" s="514"/>
      <c r="N57" s="514"/>
      <c r="O57" s="514"/>
      <c r="P57" s="514"/>
      <c r="Q57" s="514"/>
      <c r="R57" s="512"/>
      <c r="S57" s="512"/>
      <c r="T57" s="512"/>
      <c r="U57" s="1034"/>
    </row>
    <row r="58" spans="2:21" x14ac:dyDescent="0.2">
      <c r="B58" s="512"/>
      <c r="C58" s="512"/>
      <c r="D58" s="512"/>
      <c r="E58" s="512"/>
      <c r="F58" s="512"/>
      <c r="G58" s="512"/>
      <c r="H58" s="1033"/>
      <c r="I58" s="1034"/>
      <c r="J58" s="1034"/>
      <c r="K58" s="1034"/>
      <c r="L58" s="1034"/>
      <c r="M58" s="514"/>
      <c r="N58" s="514"/>
      <c r="O58" s="514"/>
      <c r="P58" s="514"/>
      <c r="Q58" s="514"/>
      <c r="R58" s="512"/>
      <c r="S58" s="512"/>
      <c r="T58" s="512"/>
      <c r="U58" s="1034"/>
    </row>
    <row r="59" spans="2:21" x14ac:dyDescent="0.2">
      <c r="B59" s="512"/>
      <c r="C59" s="512"/>
      <c r="D59" s="512"/>
      <c r="E59" s="512"/>
      <c r="F59" s="512"/>
      <c r="G59" s="512"/>
      <c r="H59" s="1033"/>
      <c r="I59" s="1034"/>
      <c r="J59" s="1034"/>
      <c r="K59" s="1034"/>
      <c r="L59" s="1034"/>
      <c r="M59" s="514"/>
      <c r="N59" s="514"/>
      <c r="O59" s="514"/>
      <c r="P59" s="514"/>
      <c r="Q59" s="514"/>
      <c r="R59" s="512"/>
      <c r="S59" s="512"/>
      <c r="T59" s="512"/>
      <c r="U59" s="1034"/>
    </row>
    <row r="60" spans="2:21" x14ac:dyDescent="0.2">
      <c r="B60" s="512"/>
      <c r="C60" s="512"/>
      <c r="D60" s="512"/>
      <c r="E60" s="512"/>
      <c r="F60" s="512"/>
      <c r="G60" s="512"/>
      <c r="H60" s="1033"/>
      <c r="I60" s="1034"/>
      <c r="J60" s="1034"/>
      <c r="K60" s="1034"/>
      <c r="L60" s="1034"/>
      <c r="M60" s="514"/>
      <c r="N60" s="514"/>
      <c r="O60" s="514"/>
      <c r="P60" s="514"/>
      <c r="Q60" s="514"/>
      <c r="R60" s="512"/>
      <c r="S60" s="512"/>
      <c r="T60" s="512"/>
      <c r="U60" s="1034"/>
    </row>
    <row r="61" spans="2:21" x14ac:dyDescent="0.2">
      <c r="B61" s="512"/>
      <c r="C61" s="512"/>
      <c r="D61" s="512"/>
      <c r="E61" s="512"/>
      <c r="F61" s="512"/>
      <c r="G61" s="512"/>
      <c r="H61" s="1033"/>
      <c r="I61" s="1034"/>
      <c r="J61" s="1034"/>
      <c r="K61" s="1034"/>
      <c r="L61" s="1034"/>
      <c r="M61" s="514"/>
      <c r="N61" s="514"/>
      <c r="O61" s="514"/>
      <c r="P61" s="514"/>
      <c r="Q61" s="514"/>
      <c r="R61" s="512"/>
      <c r="S61" s="512"/>
      <c r="T61" s="512"/>
      <c r="U61" s="1034"/>
    </row>
    <row r="62" spans="2:21" x14ac:dyDescent="0.2">
      <c r="B62" s="512"/>
      <c r="C62" s="512"/>
      <c r="D62" s="512"/>
      <c r="E62" s="512"/>
      <c r="F62" s="512"/>
      <c r="G62" s="512"/>
      <c r="H62" s="1033"/>
      <c r="I62" s="1034"/>
      <c r="J62" s="1034"/>
      <c r="K62" s="1034"/>
      <c r="L62" s="1034"/>
      <c r="M62" s="514"/>
      <c r="N62" s="514"/>
      <c r="O62" s="514"/>
      <c r="P62" s="514"/>
      <c r="Q62" s="514"/>
      <c r="R62" s="512"/>
      <c r="S62" s="512"/>
      <c r="T62" s="512"/>
      <c r="U62" s="1034"/>
    </row>
    <row r="63" spans="2:21" x14ac:dyDescent="0.2">
      <c r="B63" s="512"/>
      <c r="C63" s="512"/>
      <c r="D63" s="512"/>
      <c r="E63" s="512"/>
      <c r="F63" s="512"/>
      <c r="G63" s="512"/>
      <c r="H63" s="1033"/>
      <c r="I63" s="1034"/>
      <c r="J63" s="1034"/>
      <c r="K63" s="1034"/>
      <c r="L63" s="1034"/>
      <c r="M63" s="514"/>
      <c r="N63" s="514"/>
      <c r="O63" s="514"/>
      <c r="P63" s="514"/>
      <c r="Q63" s="514"/>
      <c r="R63" s="512"/>
      <c r="S63" s="512"/>
      <c r="T63" s="512"/>
      <c r="U63" s="1034"/>
    </row>
    <row r="64" spans="2:21" x14ac:dyDescent="0.2">
      <c r="B64" s="512"/>
      <c r="C64" s="512"/>
      <c r="D64" s="512"/>
      <c r="E64" s="512"/>
      <c r="F64" s="512"/>
      <c r="G64" s="512"/>
      <c r="H64" s="1033"/>
      <c r="I64" s="1034"/>
      <c r="J64" s="1034"/>
      <c r="K64" s="1034"/>
      <c r="L64" s="1034"/>
      <c r="M64" s="514"/>
      <c r="N64" s="514"/>
      <c r="O64" s="514"/>
      <c r="P64" s="514"/>
      <c r="Q64" s="514"/>
      <c r="R64" s="512"/>
      <c r="S64" s="512"/>
      <c r="T64" s="512"/>
      <c r="U64" s="1034"/>
    </row>
    <row r="65" spans="2:21" x14ac:dyDescent="0.2">
      <c r="B65" s="512"/>
      <c r="C65" s="512"/>
      <c r="D65" s="512"/>
      <c r="E65" s="512"/>
      <c r="F65" s="512"/>
      <c r="G65" s="512"/>
      <c r="H65" s="1033"/>
      <c r="I65" s="1034"/>
      <c r="J65" s="1034"/>
      <c r="K65" s="1034"/>
      <c r="L65" s="1034"/>
      <c r="M65" s="514"/>
      <c r="N65" s="514"/>
      <c r="O65" s="514"/>
      <c r="P65" s="514"/>
      <c r="Q65" s="514"/>
      <c r="R65" s="512"/>
      <c r="S65" s="512"/>
      <c r="T65" s="512"/>
      <c r="U65" s="1034"/>
    </row>
    <row r="66" spans="2:21" x14ac:dyDescent="0.2">
      <c r="B66" s="512"/>
      <c r="C66" s="512"/>
      <c r="D66" s="512"/>
      <c r="E66" s="512"/>
      <c r="F66" s="512"/>
      <c r="G66" s="512"/>
      <c r="H66" s="1033"/>
      <c r="I66" s="1034"/>
      <c r="J66" s="1034"/>
      <c r="K66" s="1034"/>
      <c r="L66" s="1034"/>
      <c r="M66" s="514"/>
      <c r="N66" s="514"/>
      <c r="O66" s="514"/>
      <c r="P66" s="514"/>
      <c r="Q66" s="514"/>
      <c r="R66" s="512"/>
      <c r="S66" s="512"/>
      <c r="T66" s="512"/>
      <c r="U66" s="1034"/>
    </row>
    <row r="67" spans="2:21" x14ac:dyDescent="0.2">
      <c r="B67" s="512"/>
      <c r="C67" s="512"/>
      <c r="D67" s="512"/>
      <c r="E67" s="512"/>
      <c r="F67" s="512"/>
      <c r="G67" s="512"/>
      <c r="H67" s="1033"/>
      <c r="I67" s="1034"/>
      <c r="J67" s="1034"/>
      <c r="K67" s="1034"/>
      <c r="L67" s="1034"/>
      <c r="M67" s="514"/>
      <c r="N67" s="514"/>
      <c r="O67" s="514"/>
      <c r="P67" s="514"/>
      <c r="Q67" s="514"/>
      <c r="R67" s="512"/>
      <c r="S67" s="512"/>
      <c r="T67" s="512"/>
      <c r="U67" s="1034"/>
    </row>
    <row r="68" spans="2:21" x14ac:dyDescent="0.2">
      <c r="B68" s="512"/>
      <c r="C68" s="512"/>
      <c r="D68" s="512"/>
      <c r="E68" s="512"/>
      <c r="F68" s="512"/>
      <c r="G68" s="512"/>
      <c r="H68" s="1033"/>
      <c r="I68" s="1034"/>
      <c r="J68" s="1034"/>
      <c r="K68" s="1034"/>
      <c r="L68" s="1034"/>
      <c r="M68" s="514"/>
      <c r="N68" s="514"/>
      <c r="O68" s="514"/>
      <c r="P68" s="514"/>
      <c r="Q68" s="514"/>
      <c r="R68" s="512"/>
      <c r="S68" s="512"/>
      <c r="T68" s="512"/>
      <c r="U68" s="1034"/>
    </row>
    <row r="69" spans="2:21" x14ac:dyDescent="0.2">
      <c r="B69" s="512"/>
      <c r="C69" s="512"/>
      <c r="D69" s="512"/>
      <c r="E69" s="512"/>
      <c r="F69" s="512"/>
      <c r="G69" s="512"/>
      <c r="H69" s="1033"/>
      <c r="I69" s="1034"/>
      <c r="J69" s="1034"/>
      <c r="K69" s="1034"/>
      <c r="L69" s="1034"/>
      <c r="M69" s="514"/>
      <c r="N69" s="514"/>
      <c r="O69" s="514"/>
      <c r="P69" s="514"/>
      <c r="Q69" s="514"/>
      <c r="R69" s="512"/>
      <c r="S69" s="512"/>
      <c r="T69" s="512"/>
      <c r="U69" s="1034"/>
    </row>
    <row r="70" spans="2:21" x14ac:dyDescent="0.2">
      <c r="B70" s="512"/>
      <c r="C70" s="512"/>
      <c r="D70" s="512"/>
      <c r="E70" s="512"/>
      <c r="F70" s="512"/>
      <c r="G70" s="512"/>
      <c r="H70" s="1033"/>
      <c r="I70" s="1034"/>
      <c r="J70" s="1034"/>
      <c r="K70" s="1034"/>
      <c r="L70" s="1034"/>
      <c r="M70" s="514"/>
      <c r="N70" s="514"/>
      <c r="O70" s="514"/>
      <c r="P70" s="514"/>
      <c r="Q70" s="514"/>
      <c r="R70" s="512"/>
      <c r="S70" s="512"/>
      <c r="T70" s="512"/>
      <c r="U70" s="1034"/>
    </row>
    <row r="71" spans="2:21" x14ac:dyDescent="0.2">
      <c r="B71" s="512"/>
      <c r="C71" s="512"/>
      <c r="D71" s="512"/>
      <c r="E71" s="512"/>
      <c r="F71" s="512"/>
      <c r="G71" s="512"/>
      <c r="H71" s="1033"/>
      <c r="I71" s="1034"/>
      <c r="J71" s="1034"/>
      <c r="K71" s="1034"/>
      <c r="L71" s="1034"/>
      <c r="M71" s="514"/>
      <c r="N71" s="514"/>
      <c r="O71" s="514"/>
      <c r="P71" s="514"/>
      <c r="Q71" s="514"/>
      <c r="R71" s="512"/>
      <c r="S71" s="512"/>
      <c r="T71" s="512"/>
      <c r="U71" s="1034"/>
    </row>
    <row r="72" spans="2:21" x14ac:dyDescent="0.2">
      <c r="B72" s="512"/>
      <c r="C72" s="512"/>
      <c r="D72" s="512"/>
      <c r="E72" s="512"/>
      <c r="F72" s="512"/>
      <c r="G72" s="512"/>
      <c r="H72" s="1033"/>
      <c r="I72" s="1034"/>
      <c r="J72" s="1034"/>
      <c r="K72" s="1034"/>
      <c r="L72" s="1034"/>
      <c r="M72" s="514"/>
      <c r="N72" s="514"/>
      <c r="O72" s="514"/>
      <c r="P72" s="514"/>
      <c r="Q72" s="514"/>
      <c r="R72" s="512"/>
      <c r="S72" s="512"/>
      <c r="T72" s="512"/>
      <c r="U72" s="1034"/>
    </row>
    <row r="73" spans="2:21" x14ac:dyDescent="0.2">
      <c r="B73" s="512"/>
      <c r="C73" s="512"/>
      <c r="D73" s="512"/>
      <c r="E73" s="512"/>
      <c r="F73" s="512"/>
      <c r="G73" s="512"/>
      <c r="H73" s="1033"/>
      <c r="I73" s="1034"/>
      <c r="J73" s="1034"/>
      <c r="K73" s="1034"/>
      <c r="L73" s="1034"/>
      <c r="M73" s="514"/>
      <c r="N73" s="514"/>
      <c r="O73" s="514"/>
      <c r="P73" s="514"/>
      <c r="Q73" s="514"/>
      <c r="R73" s="512"/>
      <c r="S73" s="512"/>
      <c r="T73" s="512"/>
      <c r="U73" s="1034"/>
    </row>
    <row r="74" spans="2:21" x14ac:dyDescent="0.2">
      <c r="B74" s="512"/>
      <c r="C74" s="512"/>
      <c r="D74" s="512"/>
      <c r="E74" s="512"/>
      <c r="F74" s="512"/>
      <c r="G74" s="512"/>
      <c r="H74" s="1033"/>
      <c r="I74" s="1034"/>
      <c r="J74" s="1034"/>
      <c r="K74" s="1034"/>
      <c r="L74" s="1034"/>
      <c r="M74" s="514"/>
      <c r="N74" s="514"/>
      <c r="O74" s="514"/>
      <c r="P74" s="514"/>
      <c r="Q74" s="514"/>
      <c r="R74" s="512"/>
      <c r="S74" s="512"/>
      <c r="T74" s="512"/>
      <c r="U74" s="1034"/>
    </row>
    <row r="75" spans="2:21" x14ac:dyDescent="0.2">
      <c r="B75" s="512"/>
      <c r="C75" s="512"/>
      <c r="D75" s="512"/>
      <c r="E75" s="512"/>
      <c r="F75" s="512"/>
      <c r="G75" s="512"/>
      <c r="H75" s="1033"/>
      <c r="I75" s="1034"/>
      <c r="J75" s="1034"/>
      <c r="K75" s="1034"/>
      <c r="L75" s="1034"/>
      <c r="M75" s="514"/>
      <c r="N75" s="514"/>
      <c r="O75" s="514"/>
      <c r="P75" s="514"/>
      <c r="Q75" s="514"/>
      <c r="R75" s="512"/>
      <c r="S75" s="512"/>
      <c r="T75" s="512"/>
      <c r="U75" s="1034"/>
    </row>
    <row r="76" spans="2:21" x14ac:dyDescent="0.2">
      <c r="B76" s="512"/>
      <c r="C76" s="512"/>
      <c r="D76" s="512"/>
      <c r="E76" s="512"/>
      <c r="F76" s="512"/>
      <c r="G76" s="512"/>
      <c r="H76" s="1033"/>
      <c r="I76" s="1034"/>
      <c r="J76" s="1034"/>
      <c r="K76" s="1034"/>
      <c r="L76" s="1034"/>
      <c r="M76" s="514"/>
      <c r="N76" s="514"/>
      <c r="O76" s="514"/>
      <c r="P76" s="514"/>
      <c r="Q76" s="514"/>
      <c r="R76" s="512"/>
      <c r="S76" s="512"/>
      <c r="T76" s="512"/>
      <c r="U76" s="1034"/>
    </row>
    <row r="77" spans="2:21" x14ac:dyDescent="0.2">
      <c r="B77" s="512"/>
      <c r="C77" s="512"/>
      <c r="D77" s="512"/>
      <c r="E77" s="512"/>
      <c r="F77" s="512"/>
      <c r="G77" s="512"/>
      <c r="H77" s="1033"/>
      <c r="I77" s="1034"/>
      <c r="J77" s="1034"/>
      <c r="K77" s="1034"/>
      <c r="L77" s="1034"/>
      <c r="M77" s="514"/>
      <c r="N77" s="514"/>
      <c r="O77" s="514"/>
      <c r="P77" s="514"/>
      <c r="Q77" s="514"/>
      <c r="R77" s="512"/>
      <c r="S77" s="512"/>
      <c r="T77" s="512"/>
      <c r="U77" s="1034"/>
    </row>
    <row r="78" spans="2:21" x14ac:dyDescent="0.2">
      <c r="B78" s="512"/>
      <c r="C78" s="512"/>
      <c r="D78" s="512"/>
      <c r="E78" s="512"/>
      <c r="F78" s="512"/>
      <c r="G78" s="512"/>
      <c r="H78" s="1033"/>
      <c r="I78" s="1034"/>
      <c r="J78" s="1034"/>
      <c r="K78" s="1034"/>
      <c r="L78" s="1034"/>
      <c r="M78" s="514"/>
      <c r="N78" s="514"/>
      <c r="O78" s="514"/>
      <c r="P78" s="514"/>
      <c r="Q78" s="514"/>
      <c r="R78" s="512"/>
      <c r="S78" s="512"/>
      <c r="T78" s="512"/>
      <c r="U78" s="1034"/>
    </row>
    <row r="79" spans="2:21" x14ac:dyDescent="0.2">
      <c r="B79" s="512"/>
      <c r="C79" s="512"/>
      <c r="D79" s="512"/>
      <c r="E79" s="512"/>
      <c r="F79" s="512"/>
      <c r="G79" s="512"/>
      <c r="H79" s="1033"/>
      <c r="I79" s="1034"/>
      <c r="J79" s="1034"/>
      <c r="K79" s="1034"/>
      <c r="L79" s="1034"/>
      <c r="M79" s="514"/>
      <c r="N79" s="514"/>
      <c r="O79" s="514"/>
      <c r="P79" s="514"/>
      <c r="Q79" s="514"/>
      <c r="R79" s="512"/>
      <c r="S79" s="512"/>
      <c r="T79" s="512"/>
      <c r="U79" s="1034"/>
    </row>
    <row r="80" spans="2:21" x14ac:dyDescent="0.2">
      <c r="B80" s="512"/>
      <c r="C80" s="512"/>
      <c r="D80" s="512"/>
      <c r="E80" s="512"/>
      <c r="F80" s="512"/>
      <c r="G80" s="512"/>
      <c r="H80" s="1033"/>
      <c r="I80" s="1034"/>
      <c r="J80" s="1034"/>
      <c r="K80" s="1034"/>
      <c r="L80" s="1034"/>
      <c r="M80" s="514"/>
      <c r="N80" s="514"/>
      <c r="O80" s="514"/>
      <c r="P80" s="514"/>
      <c r="Q80" s="514"/>
      <c r="R80" s="512"/>
      <c r="S80" s="512"/>
      <c r="T80" s="512"/>
      <c r="U80" s="1034"/>
    </row>
    <row r="81" spans="2:21" x14ac:dyDescent="0.2">
      <c r="B81" s="512"/>
      <c r="C81" s="512"/>
      <c r="D81" s="512"/>
      <c r="E81" s="512"/>
      <c r="F81" s="512"/>
      <c r="G81" s="512"/>
      <c r="H81" s="1033"/>
      <c r="I81" s="1034"/>
      <c r="J81" s="1034"/>
      <c r="K81" s="1034"/>
      <c r="L81" s="1034"/>
      <c r="M81" s="514"/>
      <c r="N81" s="514"/>
      <c r="O81" s="514"/>
      <c r="P81" s="514"/>
      <c r="Q81" s="514"/>
      <c r="R81" s="512"/>
      <c r="S81" s="512"/>
      <c r="T81" s="512"/>
      <c r="U81" s="1034"/>
    </row>
    <row r="82" spans="2:21" x14ac:dyDescent="0.2">
      <c r="B82" s="512"/>
      <c r="C82" s="512"/>
      <c r="D82" s="512"/>
      <c r="E82" s="512"/>
      <c r="F82" s="512"/>
      <c r="G82" s="512"/>
      <c r="H82" s="1033"/>
      <c r="I82" s="1034"/>
      <c r="J82" s="1034"/>
      <c r="K82" s="1034"/>
      <c r="L82" s="1034"/>
      <c r="M82" s="514"/>
      <c r="N82" s="514"/>
      <c r="O82" s="514"/>
      <c r="P82" s="514"/>
      <c r="Q82" s="514"/>
      <c r="R82" s="512"/>
      <c r="S82" s="512"/>
      <c r="T82" s="512"/>
      <c r="U82" s="1034"/>
    </row>
    <row r="83" spans="2:21" x14ac:dyDescent="0.2">
      <c r="B83" s="512"/>
      <c r="C83" s="512"/>
      <c r="D83" s="512"/>
      <c r="E83" s="512"/>
      <c r="F83" s="512"/>
      <c r="G83" s="512"/>
      <c r="H83" s="1033"/>
      <c r="I83" s="1034"/>
      <c r="J83" s="1034"/>
      <c r="K83" s="1034"/>
      <c r="L83" s="1034"/>
      <c r="M83" s="514"/>
      <c r="N83" s="514"/>
      <c r="O83" s="514"/>
      <c r="P83" s="514"/>
      <c r="Q83" s="514"/>
      <c r="R83" s="512"/>
      <c r="S83" s="512"/>
      <c r="T83" s="512"/>
      <c r="U83" s="1034"/>
    </row>
    <row r="84" spans="2:21" x14ac:dyDescent="0.2">
      <c r="B84" s="512"/>
      <c r="C84" s="512"/>
      <c r="D84" s="512"/>
      <c r="E84" s="512"/>
      <c r="F84" s="512"/>
      <c r="G84" s="512"/>
      <c r="H84" s="1033"/>
      <c r="I84" s="1034"/>
      <c r="J84" s="1034"/>
      <c r="K84" s="1034"/>
      <c r="L84" s="1034"/>
      <c r="M84" s="514"/>
      <c r="N84" s="514"/>
      <c r="O84" s="514"/>
      <c r="P84" s="514"/>
      <c r="Q84" s="514"/>
      <c r="R84" s="512"/>
      <c r="S84" s="512"/>
      <c r="T84" s="512"/>
      <c r="U84" s="1034"/>
    </row>
    <row r="85" spans="2:21" x14ac:dyDescent="0.2">
      <c r="B85" s="512"/>
      <c r="C85" s="512"/>
      <c r="D85" s="512"/>
      <c r="E85" s="512"/>
      <c r="F85" s="512"/>
      <c r="G85" s="512"/>
      <c r="H85" s="1033"/>
      <c r="I85" s="1034"/>
      <c r="J85" s="1034"/>
      <c r="K85" s="1034"/>
      <c r="L85" s="1034"/>
      <c r="M85" s="514"/>
      <c r="N85" s="514"/>
      <c r="O85" s="514"/>
      <c r="P85" s="514"/>
      <c r="Q85" s="514"/>
      <c r="R85" s="512"/>
      <c r="S85" s="512"/>
      <c r="T85" s="512"/>
      <c r="U85" s="1034"/>
    </row>
    <row r="86" spans="2:21" x14ac:dyDescent="0.2">
      <c r="B86" s="512"/>
      <c r="C86" s="512"/>
      <c r="D86" s="512"/>
      <c r="E86" s="512"/>
      <c r="F86" s="512"/>
      <c r="G86" s="512"/>
      <c r="H86" s="1033"/>
      <c r="I86" s="1034"/>
      <c r="J86" s="1034"/>
      <c r="K86" s="1034"/>
      <c r="L86" s="1034"/>
      <c r="M86" s="514"/>
      <c r="N86" s="514"/>
      <c r="O86" s="514"/>
      <c r="P86" s="514"/>
      <c r="Q86" s="514"/>
      <c r="R86" s="512"/>
      <c r="S86" s="512"/>
      <c r="T86" s="512"/>
      <c r="U86" s="1034"/>
    </row>
    <row r="87" spans="2:21" x14ac:dyDescent="0.2">
      <c r="B87" s="512"/>
      <c r="C87" s="512"/>
      <c r="D87" s="512"/>
      <c r="E87" s="512"/>
      <c r="F87" s="512"/>
      <c r="G87" s="512"/>
      <c r="H87" s="1033"/>
      <c r="I87" s="1034"/>
      <c r="J87" s="1034"/>
      <c r="K87" s="1034"/>
      <c r="L87" s="1034"/>
      <c r="M87" s="514"/>
      <c r="N87" s="514"/>
      <c r="O87" s="514"/>
      <c r="P87" s="514"/>
      <c r="Q87" s="514"/>
      <c r="R87" s="512"/>
      <c r="S87" s="512"/>
      <c r="T87" s="512"/>
      <c r="U87" s="1034"/>
    </row>
    <row r="88" spans="2:21" x14ac:dyDescent="0.2">
      <c r="B88" s="512"/>
      <c r="C88" s="512"/>
      <c r="D88" s="512"/>
      <c r="E88" s="512"/>
      <c r="F88" s="512"/>
      <c r="G88" s="512"/>
      <c r="H88" s="1033"/>
      <c r="I88" s="1034"/>
      <c r="J88" s="1034"/>
      <c r="K88" s="1034"/>
      <c r="L88" s="1034"/>
      <c r="M88" s="514"/>
      <c r="N88" s="514"/>
      <c r="O88" s="514"/>
      <c r="P88" s="514"/>
      <c r="Q88" s="514"/>
      <c r="R88" s="512"/>
      <c r="S88" s="512"/>
      <c r="T88" s="512"/>
      <c r="U88" s="1034"/>
    </row>
    <row r="89" spans="2:21" x14ac:dyDescent="0.2">
      <c r="B89" s="512"/>
      <c r="C89" s="512"/>
      <c r="D89" s="512"/>
      <c r="E89" s="512"/>
      <c r="F89" s="512"/>
      <c r="G89" s="512"/>
      <c r="H89" s="1033"/>
      <c r="I89" s="1034"/>
      <c r="J89" s="1034"/>
      <c r="K89" s="1034"/>
      <c r="L89" s="1034"/>
      <c r="M89" s="514"/>
      <c r="N89" s="514"/>
      <c r="O89" s="514"/>
      <c r="P89" s="514"/>
      <c r="Q89" s="514"/>
      <c r="R89" s="512"/>
      <c r="S89" s="512"/>
      <c r="T89" s="512"/>
      <c r="U89" s="1034"/>
    </row>
    <row r="90" spans="2:21" x14ac:dyDescent="0.2">
      <c r="B90" s="512"/>
      <c r="C90" s="512"/>
      <c r="D90" s="512"/>
      <c r="E90" s="512"/>
      <c r="F90" s="512"/>
      <c r="G90" s="512"/>
      <c r="H90" s="1033"/>
      <c r="I90" s="1034"/>
      <c r="J90" s="1034"/>
      <c r="K90" s="1034"/>
      <c r="L90" s="1034"/>
      <c r="M90" s="514"/>
      <c r="N90" s="514"/>
      <c r="O90" s="514"/>
      <c r="P90" s="514"/>
      <c r="Q90" s="514"/>
      <c r="R90" s="512"/>
      <c r="S90" s="512"/>
      <c r="T90" s="512"/>
      <c r="U90" s="1034"/>
    </row>
    <row r="91" spans="2:21" x14ac:dyDescent="0.2">
      <c r="B91" s="512"/>
      <c r="C91" s="512"/>
      <c r="D91" s="512"/>
      <c r="E91" s="512"/>
      <c r="F91" s="512"/>
      <c r="G91" s="512"/>
      <c r="H91" s="1033"/>
      <c r="I91" s="1034"/>
      <c r="J91" s="1034"/>
      <c r="K91" s="1034"/>
      <c r="L91" s="1034"/>
      <c r="M91" s="514"/>
      <c r="N91" s="514"/>
      <c r="O91" s="514"/>
      <c r="P91" s="514"/>
      <c r="Q91" s="514"/>
      <c r="R91" s="512"/>
      <c r="S91" s="512"/>
      <c r="T91" s="512"/>
      <c r="U91" s="1034"/>
    </row>
    <row r="92" spans="2:21" x14ac:dyDescent="0.2">
      <c r="B92" s="512"/>
      <c r="C92" s="512"/>
      <c r="D92" s="512"/>
      <c r="E92" s="512"/>
      <c r="F92" s="512"/>
      <c r="G92" s="512"/>
      <c r="H92" s="1033"/>
      <c r="I92" s="1034"/>
      <c r="J92" s="1034"/>
      <c r="K92" s="1034"/>
      <c r="L92" s="1034"/>
      <c r="M92" s="514"/>
      <c r="N92" s="514"/>
      <c r="O92" s="514"/>
      <c r="P92" s="514"/>
      <c r="Q92" s="514"/>
      <c r="R92" s="512"/>
      <c r="S92" s="512"/>
      <c r="T92" s="512"/>
      <c r="U92" s="1034"/>
    </row>
    <row r="93" spans="2:21" x14ac:dyDescent="0.2">
      <c r="B93" s="512"/>
      <c r="C93" s="512"/>
      <c r="D93" s="512"/>
      <c r="E93" s="512"/>
      <c r="F93" s="512"/>
      <c r="G93" s="512"/>
      <c r="H93" s="1033"/>
      <c r="I93" s="1034"/>
      <c r="J93" s="1034"/>
      <c r="K93" s="1034"/>
      <c r="L93" s="1034"/>
      <c r="M93" s="514"/>
      <c r="N93" s="514"/>
      <c r="O93" s="514"/>
      <c r="P93" s="514"/>
      <c r="Q93" s="514"/>
      <c r="R93" s="512"/>
      <c r="S93" s="512"/>
      <c r="T93" s="512"/>
      <c r="U93" s="1034"/>
    </row>
    <row r="94" spans="2:21" x14ac:dyDescent="0.2">
      <c r="B94" s="512"/>
      <c r="C94" s="512"/>
      <c r="D94" s="512"/>
      <c r="E94" s="512"/>
      <c r="F94" s="512"/>
      <c r="G94" s="512"/>
      <c r="H94" s="1033"/>
      <c r="I94" s="1034"/>
      <c r="J94" s="1034"/>
      <c r="K94" s="1034"/>
      <c r="L94" s="1034"/>
      <c r="M94" s="514"/>
      <c r="N94" s="514"/>
      <c r="O94" s="514"/>
      <c r="P94" s="514"/>
      <c r="Q94" s="514"/>
      <c r="R94" s="512"/>
      <c r="S94" s="512"/>
      <c r="T94" s="512"/>
      <c r="U94" s="1034"/>
    </row>
    <row r="95" spans="2:21" x14ac:dyDescent="0.2">
      <c r="B95" s="512"/>
      <c r="C95" s="512"/>
      <c r="D95" s="512"/>
      <c r="E95" s="512"/>
      <c r="F95" s="512"/>
      <c r="G95" s="512"/>
      <c r="H95" s="1033"/>
      <c r="I95" s="1034"/>
      <c r="J95" s="1034"/>
      <c r="K95" s="1034"/>
      <c r="L95" s="1034"/>
      <c r="M95" s="514"/>
      <c r="N95" s="514"/>
      <c r="O95" s="514"/>
      <c r="P95" s="514"/>
      <c r="Q95" s="514"/>
      <c r="R95" s="512"/>
      <c r="S95" s="512"/>
      <c r="T95" s="512"/>
      <c r="U95" s="1034"/>
    </row>
    <row r="96" spans="2:21" x14ac:dyDescent="0.2">
      <c r="B96" s="512"/>
      <c r="C96" s="512"/>
      <c r="D96" s="512"/>
      <c r="E96" s="512"/>
      <c r="F96" s="512"/>
      <c r="G96" s="512"/>
      <c r="H96" s="1033"/>
      <c r="I96" s="1034"/>
      <c r="J96" s="1034"/>
      <c r="K96" s="1034"/>
      <c r="L96" s="1034"/>
      <c r="M96" s="514"/>
      <c r="N96" s="514"/>
      <c r="O96" s="514"/>
      <c r="P96" s="514"/>
      <c r="Q96" s="514"/>
      <c r="R96" s="512"/>
      <c r="S96" s="512"/>
      <c r="T96" s="512"/>
      <c r="U96" s="1034"/>
    </row>
    <row r="97" spans="2:21" x14ac:dyDescent="0.2">
      <c r="B97" s="512"/>
      <c r="C97" s="512"/>
      <c r="D97" s="512"/>
      <c r="E97" s="512"/>
      <c r="F97" s="512"/>
      <c r="G97" s="512"/>
      <c r="H97" s="1033"/>
      <c r="I97" s="1034"/>
      <c r="J97" s="1034"/>
      <c r="K97" s="1034"/>
      <c r="L97" s="1034"/>
      <c r="M97" s="514"/>
      <c r="N97" s="514"/>
      <c r="O97" s="514"/>
      <c r="P97" s="514"/>
      <c r="Q97" s="514"/>
      <c r="R97" s="512"/>
      <c r="S97" s="512"/>
      <c r="T97" s="512"/>
      <c r="U97" s="1034"/>
    </row>
    <row r="98" spans="2:21" x14ac:dyDescent="0.2">
      <c r="B98" s="512"/>
      <c r="C98" s="512"/>
      <c r="D98" s="512"/>
      <c r="E98" s="512"/>
      <c r="F98" s="512"/>
      <c r="G98" s="512"/>
      <c r="H98" s="1033"/>
      <c r="I98" s="1034"/>
      <c r="J98" s="1034"/>
      <c r="K98" s="1034"/>
      <c r="L98" s="1034"/>
      <c r="M98" s="514"/>
      <c r="N98" s="514"/>
      <c r="O98" s="514"/>
      <c r="P98" s="514"/>
      <c r="Q98" s="514"/>
      <c r="R98" s="512"/>
      <c r="S98" s="512"/>
      <c r="T98" s="512"/>
      <c r="U98" s="1034"/>
    </row>
    <row r="99" spans="2:21" x14ac:dyDescent="0.2">
      <c r="B99" s="512"/>
      <c r="C99" s="512"/>
      <c r="D99" s="512"/>
      <c r="E99" s="512"/>
      <c r="F99" s="512"/>
      <c r="G99" s="512"/>
      <c r="H99" s="1033"/>
      <c r="I99" s="1034"/>
      <c r="J99" s="1034"/>
      <c r="K99" s="1034"/>
      <c r="L99" s="1034"/>
      <c r="M99" s="514"/>
      <c r="N99" s="514"/>
      <c r="O99" s="514"/>
      <c r="P99" s="514"/>
      <c r="Q99" s="514"/>
      <c r="R99" s="512"/>
      <c r="S99" s="512"/>
      <c r="T99" s="512"/>
      <c r="U99" s="1034"/>
    </row>
    <row r="100" spans="2:21" x14ac:dyDescent="0.2">
      <c r="B100" s="512"/>
      <c r="C100" s="512"/>
      <c r="D100" s="512"/>
      <c r="E100" s="512"/>
      <c r="F100" s="512"/>
      <c r="G100" s="512"/>
      <c r="H100" s="1033"/>
      <c r="I100" s="1034"/>
      <c r="J100" s="1034"/>
      <c r="K100" s="1034"/>
      <c r="L100" s="1034"/>
      <c r="M100" s="514"/>
      <c r="N100" s="514"/>
      <c r="O100" s="514"/>
      <c r="P100" s="514"/>
      <c r="Q100" s="514"/>
      <c r="R100" s="512"/>
      <c r="S100" s="512"/>
      <c r="T100" s="512"/>
      <c r="U100" s="1034"/>
    </row>
    <row r="101" spans="2:21" x14ac:dyDescent="0.2">
      <c r="B101" s="512"/>
      <c r="C101" s="512"/>
      <c r="D101" s="512"/>
      <c r="E101" s="512"/>
      <c r="F101" s="512"/>
      <c r="G101" s="512"/>
      <c r="H101" s="1033"/>
      <c r="I101" s="1034"/>
      <c r="J101" s="1034"/>
      <c r="K101" s="1034"/>
      <c r="L101" s="1034"/>
      <c r="M101" s="514"/>
      <c r="N101" s="514"/>
      <c r="O101" s="514"/>
      <c r="P101" s="514"/>
      <c r="Q101" s="514"/>
      <c r="R101" s="512"/>
      <c r="S101" s="512"/>
      <c r="T101" s="512"/>
      <c r="U101" s="1034"/>
    </row>
    <row r="102" spans="2:21" x14ac:dyDescent="0.2">
      <c r="B102" s="512"/>
      <c r="C102" s="512"/>
      <c r="D102" s="512"/>
      <c r="E102" s="512"/>
      <c r="F102" s="512"/>
      <c r="G102" s="512"/>
      <c r="H102" s="1033"/>
      <c r="I102" s="1034"/>
      <c r="J102" s="1034"/>
      <c r="K102" s="1034"/>
      <c r="L102" s="1034"/>
      <c r="M102" s="514"/>
      <c r="N102" s="514"/>
      <c r="O102" s="514"/>
      <c r="P102" s="514"/>
      <c r="Q102" s="514"/>
      <c r="R102" s="512"/>
      <c r="S102" s="512"/>
      <c r="T102" s="512"/>
      <c r="U102" s="1034"/>
    </row>
    <row r="103" spans="2:21" x14ac:dyDescent="0.2">
      <c r="B103" s="512"/>
      <c r="C103" s="512"/>
      <c r="D103" s="512"/>
      <c r="E103" s="512"/>
      <c r="F103" s="512"/>
      <c r="G103" s="512"/>
      <c r="H103" s="1033"/>
      <c r="I103" s="1034"/>
      <c r="J103" s="1034"/>
      <c r="K103" s="1034"/>
      <c r="L103" s="1034"/>
      <c r="M103" s="514"/>
      <c r="N103" s="514"/>
      <c r="O103" s="514"/>
      <c r="P103" s="514"/>
      <c r="Q103" s="514"/>
      <c r="R103" s="512"/>
      <c r="S103" s="512"/>
      <c r="T103" s="512"/>
      <c r="U103" s="1034"/>
    </row>
    <row r="104" spans="2:21" x14ac:dyDescent="0.2">
      <c r="B104" s="512"/>
      <c r="C104" s="512"/>
      <c r="D104" s="512"/>
      <c r="E104" s="512"/>
      <c r="F104" s="512"/>
      <c r="G104" s="512"/>
      <c r="H104" s="1033"/>
      <c r="I104" s="1034"/>
      <c r="J104" s="1034"/>
      <c r="K104" s="1034"/>
      <c r="L104" s="1034"/>
      <c r="M104" s="514"/>
      <c r="N104" s="514"/>
      <c r="O104" s="514"/>
      <c r="P104" s="514"/>
      <c r="Q104" s="514"/>
      <c r="R104" s="512"/>
      <c r="S104" s="512"/>
      <c r="T104" s="512"/>
      <c r="U104" s="1034"/>
    </row>
    <row r="105" spans="2:21" x14ac:dyDescent="0.2">
      <c r="B105" s="512"/>
      <c r="C105" s="512"/>
      <c r="D105" s="512"/>
      <c r="E105" s="512"/>
      <c r="F105" s="512"/>
      <c r="G105" s="512"/>
      <c r="H105" s="1033"/>
      <c r="I105" s="1034"/>
      <c r="J105" s="1034"/>
      <c r="K105" s="1034"/>
      <c r="L105" s="1034"/>
      <c r="M105" s="514"/>
      <c r="N105" s="514"/>
      <c r="O105" s="514"/>
      <c r="P105" s="514"/>
      <c r="Q105" s="514"/>
      <c r="R105" s="512"/>
      <c r="S105" s="512"/>
      <c r="T105" s="512"/>
      <c r="U105" s="1034"/>
    </row>
    <row r="106" spans="2:21" x14ac:dyDescent="0.2">
      <c r="B106" s="512"/>
      <c r="C106" s="512"/>
      <c r="D106" s="512"/>
      <c r="E106" s="512"/>
      <c r="F106" s="512"/>
      <c r="G106" s="512"/>
      <c r="H106" s="1033"/>
      <c r="I106" s="1034"/>
      <c r="J106" s="1034"/>
      <c r="K106" s="1034"/>
      <c r="L106" s="1034"/>
      <c r="M106" s="514"/>
      <c r="N106" s="514"/>
      <c r="O106" s="514"/>
      <c r="P106" s="514"/>
      <c r="Q106" s="514"/>
      <c r="R106" s="512"/>
      <c r="S106" s="512"/>
      <c r="T106" s="512"/>
      <c r="U106" s="1034"/>
    </row>
    <row r="107" spans="2:21" x14ac:dyDescent="0.2">
      <c r="B107" s="512"/>
      <c r="C107" s="512"/>
      <c r="D107" s="512"/>
      <c r="E107" s="512"/>
      <c r="F107" s="512"/>
      <c r="G107" s="512"/>
      <c r="H107" s="1033"/>
      <c r="I107" s="1034"/>
      <c r="J107" s="1034"/>
      <c r="K107" s="1034"/>
      <c r="L107" s="1034"/>
      <c r="M107" s="514"/>
      <c r="N107" s="514"/>
      <c r="O107" s="514"/>
      <c r="P107" s="514"/>
      <c r="Q107" s="514"/>
      <c r="R107" s="512"/>
      <c r="S107" s="512"/>
      <c r="T107" s="512"/>
      <c r="U107" s="1034"/>
    </row>
    <row r="108" spans="2:21" x14ac:dyDescent="0.2">
      <c r="B108" s="512"/>
      <c r="C108" s="512"/>
      <c r="D108" s="512"/>
      <c r="E108" s="512"/>
      <c r="F108" s="512"/>
      <c r="G108" s="512"/>
      <c r="H108" s="1033"/>
      <c r="I108" s="1034"/>
      <c r="J108" s="1034"/>
      <c r="K108" s="1034"/>
      <c r="L108" s="1034"/>
      <c r="M108" s="514"/>
      <c r="N108" s="514"/>
      <c r="O108" s="514"/>
      <c r="P108" s="514"/>
      <c r="Q108" s="514"/>
      <c r="R108" s="512"/>
      <c r="S108" s="512"/>
      <c r="T108" s="512"/>
      <c r="U108" s="1034"/>
    </row>
    <row r="109" spans="2:21" x14ac:dyDescent="0.2">
      <c r="B109" s="512"/>
      <c r="C109" s="512"/>
      <c r="D109" s="512"/>
      <c r="E109" s="512"/>
      <c r="F109" s="512"/>
      <c r="G109" s="512"/>
      <c r="H109" s="1033"/>
      <c r="I109" s="1034"/>
      <c r="J109" s="1034"/>
      <c r="K109" s="1034"/>
      <c r="L109" s="1034"/>
      <c r="M109" s="514"/>
      <c r="N109" s="514"/>
      <c r="O109" s="514"/>
      <c r="P109" s="514"/>
      <c r="Q109" s="514"/>
      <c r="R109" s="512"/>
      <c r="S109" s="512"/>
      <c r="T109" s="512"/>
      <c r="U109" s="1034"/>
    </row>
    <row r="110" spans="2:21" x14ac:dyDescent="0.2">
      <c r="B110" s="512"/>
      <c r="C110" s="512"/>
      <c r="D110" s="512"/>
      <c r="E110" s="512"/>
      <c r="F110" s="512"/>
      <c r="G110" s="512"/>
      <c r="H110" s="1033"/>
      <c r="I110" s="1034"/>
      <c r="J110" s="1034"/>
      <c r="K110" s="1034"/>
      <c r="L110" s="1034"/>
      <c r="M110" s="514"/>
      <c r="N110" s="514"/>
      <c r="O110" s="514"/>
      <c r="P110" s="514"/>
      <c r="Q110" s="514"/>
      <c r="R110" s="512"/>
      <c r="S110" s="512"/>
      <c r="T110" s="512"/>
      <c r="U110" s="1034"/>
    </row>
    <row r="111" spans="2:21" x14ac:dyDescent="0.2">
      <c r="B111" s="512"/>
      <c r="C111" s="512"/>
      <c r="D111" s="512"/>
      <c r="E111" s="512"/>
      <c r="F111" s="512"/>
      <c r="G111" s="512"/>
      <c r="H111" s="1033"/>
      <c r="I111" s="1034"/>
      <c r="J111" s="1034"/>
      <c r="K111" s="1034"/>
      <c r="L111" s="1034"/>
      <c r="M111" s="514"/>
      <c r="N111" s="514"/>
      <c r="O111" s="514"/>
      <c r="P111" s="514"/>
      <c r="Q111" s="514"/>
      <c r="R111" s="512"/>
      <c r="S111" s="512"/>
      <c r="T111" s="512"/>
      <c r="U111" s="1034"/>
    </row>
    <row r="112" spans="2:21" x14ac:dyDescent="0.2">
      <c r="B112" s="512"/>
      <c r="C112" s="512"/>
      <c r="D112" s="512"/>
      <c r="E112" s="512"/>
      <c r="F112" s="512"/>
      <c r="G112" s="512"/>
      <c r="H112" s="1033"/>
      <c r="I112" s="1034"/>
      <c r="J112" s="1034"/>
      <c r="K112" s="1034"/>
      <c r="L112" s="1034"/>
      <c r="M112" s="514"/>
      <c r="N112" s="514"/>
      <c r="O112" s="514"/>
      <c r="P112" s="514"/>
      <c r="Q112" s="514"/>
      <c r="R112" s="512"/>
      <c r="S112" s="512"/>
      <c r="T112" s="512"/>
      <c r="U112" s="1034"/>
    </row>
    <row r="113" spans="2:21" x14ac:dyDescent="0.2">
      <c r="B113" s="512"/>
      <c r="C113" s="512"/>
      <c r="D113" s="512"/>
      <c r="E113" s="512"/>
      <c r="F113" s="512"/>
      <c r="G113" s="512"/>
      <c r="H113" s="1033"/>
      <c r="I113" s="1034"/>
      <c r="J113" s="1034"/>
      <c r="K113" s="1034"/>
      <c r="L113" s="1034"/>
      <c r="M113" s="514"/>
      <c r="N113" s="514"/>
      <c r="O113" s="514"/>
      <c r="P113" s="514"/>
      <c r="Q113" s="514"/>
      <c r="R113" s="512"/>
      <c r="S113" s="512"/>
      <c r="T113" s="512"/>
      <c r="U113" s="1034"/>
    </row>
    <row r="114" spans="2:21" x14ac:dyDescent="0.2">
      <c r="B114" s="512"/>
      <c r="C114" s="512"/>
      <c r="D114" s="512"/>
      <c r="E114" s="512"/>
      <c r="F114" s="512"/>
      <c r="G114" s="512"/>
      <c r="H114" s="1033"/>
      <c r="I114" s="1034"/>
      <c r="J114" s="1034"/>
      <c r="K114" s="1034"/>
      <c r="L114" s="1034"/>
      <c r="M114" s="514"/>
      <c r="N114" s="514"/>
      <c r="O114" s="514"/>
      <c r="P114" s="514"/>
      <c r="Q114" s="514"/>
      <c r="R114" s="512"/>
      <c r="S114" s="512"/>
      <c r="T114" s="512"/>
      <c r="U114" s="1034"/>
    </row>
    <row r="115" spans="2:21" x14ac:dyDescent="0.2">
      <c r="B115" s="512"/>
      <c r="C115" s="512"/>
      <c r="D115" s="512"/>
      <c r="E115" s="512"/>
      <c r="F115" s="512"/>
      <c r="G115" s="512"/>
      <c r="H115" s="1033"/>
      <c r="I115" s="1034"/>
      <c r="J115" s="1034"/>
      <c r="K115" s="1034"/>
      <c r="L115" s="1034"/>
      <c r="M115" s="514"/>
      <c r="N115" s="514"/>
      <c r="O115" s="514"/>
      <c r="P115" s="514"/>
      <c r="Q115" s="514"/>
      <c r="R115" s="512"/>
      <c r="S115" s="512"/>
      <c r="T115" s="512"/>
      <c r="U115" s="1034"/>
    </row>
    <row r="116" spans="2:21" x14ac:dyDescent="0.2">
      <c r="B116" s="512"/>
      <c r="C116" s="512"/>
      <c r="D116" s="512"/>
      <c r="E116" s="512"/>
      <c r="F116" s="512"/>
      <c r="G116" s="512"/>
      <c r="H116" s="1033"/>
      <c r="I116" s="1034"/>
      <c r="J116" s="1034"/>
      <c r="K116" s="1034"/>
      <c r="L116" s="1034"/>
      <c r="M116" s="514"/>
      <c r="N116" s="514"/>
      <c r="O116" s="514"/>
      <c r="P116" s="514"/>
      <c r="Q116" s="514"/>
      <c r="R116" s="512"/>
      <c r="S116" s="512"/>
      <c r="T116" s="512"/>
      <c r="U116" s="1034"/>
    </row>
    <row r="117" spans="2:21" x14ac:dyDescent="0.2">
      <c r="B117" s="512"/>
      <c r="C117" s="512"/>
      <c r="D117" s="512"/>
      <c r="E117" s="512"/>
      <c r="F117" s="512"/>
      <c r="G117" s="512"/>
      <c r="H117" s="1033"/>
      <c r="I117" s="1034"/>
      <c r="J117" s="1034"/>
      <c r="K117" s="1034"/>
      <c r="L117" s="1034"/>
      <c r="M117" s="514"/>
      <c r="N117" s="514"/>
      <c r="O117" s="514"/>
      <c r="P117" s="514"/>
      <c r="Q117" s="514"/>
      <c r="R117" s="512"/>
      <c r="S117" s="512"/>
      <c r="T117" s="512"/>
      <c r="U117" s="1034"/>
    </row>
    <row r="118" spans="2:21" x14ac:dyDescent="0.2">
      <c r="B118" s="512"/>
      <c r="C118" s="512"/>
      <c r="D118" s="512"/>
      <c r="E118" s="512"/>
      <c r="F118" s="512"/>
      <c r="G118" s="512"/>
      <c r="H118" s="1033"/>
      <c r="I118" s="1034"/>
      <c r="J118" s="1034"/>
      <c r="K118" s="1034"/>
      <c r="L118" s="1034"/>
      <c r="M118" s="514"/>
      <c r="N118" s="514"/>
      <c r="O118" s="514"/>
      <c r="P118" s="514"/>
      <c r="Q118" s="514"/>
      <c r="R118" s="512"/>
      <c r="S118" s="512"/>
      <c r="T118" s="512"/>
      <c r="U118" s="1034"/>
    </row>
    <row r="119" spans="2:21" x14ac:dyDescent="0.2">
      <c r="B119" s="512"/>
      <c r="C119" s="512"/>
      <c r="D119" s="512"/>
      <c r="E119" s="512"/>
      <c r="F119" s="512"/>
      <c r="G119" s="512"/>
      <c r="H119" s="1033"/>
      <c r="I119" s="1034"/>
      <c r="J119" s="1034"/>
      <c r="K119" s="1034"/>
      <c r="L119" s="1034"/>
      <c r="M119" s="514"/>
      <c r="N119" s="514"/>
      <c r="O119" s="514"/>
      <c r="P119" s="514"/>
      <c r="Q119" s="514"/>
      <c r="R119" s="512"/>
      <c r="S119" s="512"/>
      <c r="T119" s="512"/>
      <c r="U119" s="1034"/>
    </row>
    <row r="120" spans="2:21" x14ac:dyDescent="0.2">
      <c r="B120" s="512"/>
      <c r="C120" s="512"/>
      <c r="D120" s="512"/>
      <c r="E120" s="512"/>
      <c r="F120" s="512"/>
      <c r="G120" s="512"/>
      <c r="H120" s="1033"/>
      <c r="I120" s="1034"/>
      <c r="J120" s="1034"/>
      <c r="K120" s="1034"/>
      <c r="L120" s="1034"/>
      <c r="M120" s="514"/>
      <c r="N120" s="514"/>
      <c r="O120" s="514"/>
      <c r="P120" s="514"/>
      <c r="Q120" s="514"/>
      <c r="R120" s="512"/>
      <c r="S120" s="512"/>
      <c r="T120" s="512"/>
      <c r="U120" s="1034"/>
    </row>
    <row r="121" spans="2:21" x14ac:dyDescent="0.2">
      <c r="B121" s="512"/>
      <c r="C121" s="512"/>
      <c r="D121" s="512"/>
      <c r="E121" s="512"/>
      <c r="F121" s="512"/>
      <c r="G121" s="512"/>
      <c r="H121" s="1033"/>
      <c r="I121" s="1034"/>
      <c r="J121" s="1034"/>
      <c r="K121" s="1034"/>
      <c r="L121" s="1034"/>
      <c r="M121" s="514"/>
      <c r="N121" s="514"/>
      <c r="O121" s="514"/>
      <c r="P121" s="514"/>
      <c r="Q121" s="514"/>
      <c r="R121" s="512"/>
      <c r="S121" s="512"/>
      <c r="T121" s="512"/>
      <c r="U121" s="1034"/>
    </row>
    <row r="122" spans="2:21" x14ac:dyDescent="0.2">
      <c r="B122" s="512"/>
      <c r="C122" s="512"/>
      <c r="D122" s="512"/>
      <c r="E122" s="512"/>
      <c r="F122" s="512"/>
      <c r="G122" s="512"/>
      <c r="H122" s="1033"/>
      <c r="I122" s="1034"/>
      <c r="J122" s="1034"/>
      <c r="K122" s="1034"/>
      <c r="L122" s="1034"/>
      <c r="M122" s="514"/>
      <c r="N122" s="514"/>
      <c r="O122" s="514"/>
      <c r="P122" s="514"/>
      <c r="Q122" s="514"/>
      <c r="R122" s="512"/>
      <c r="S122" s="512"/>
      <c r="T122" s="512"/>
      <c r="U122" s="1034"/>
    </row>
    <row r="123" spans="2:21" x14ac:dyDescent="0.2">
      <c r="B123" s="512"/>
      <c r="C123" s="512"/>
      <c r="D123" s="512"/>
      <c r="E123" s="512"/>
      <c r="F123" s="512"/>
      <c r="G123" s="512"/>
      <c r="H123" s="1033"/>
      <c r="I123" s="1034"/>
      <c r="J123" s="1034"/>
      <c r="K123" s="1034"/>
      <c r="L123" s="1034"/>
      <c r="M123" s="514"/>
      <c r="N123" s="514"/>
      <c r="O123" s="514"/>
      <c r="P123" s="514"/>
      <c r="Q123" s="514"/>
      <c r="R123" s="512"/>
      <c r="S123" s="512"/>
      <c r="T123" s="512"/>
      <c r="U123" s="1034"/>
    </row>
    <row r="124" spans="2:21" x14ac:dyDescent="0.2">
      <c r="B124" s="512"/>
      <c r="C124" s="512"/>
      <c r="D124" s="512"/>
      <c r="E124" s="512"/>
      <c r="F124" s="512"/>
      <c r="G124" s="512"/>
      <c r="H124" s="1033"/>
      <c r="I124" s="1034"/>
      <c r="J124" s="1034"/>
      <c r="K124" s="1034"/>
      <c r="L124" s="1034"/>
      <c r="M124" s="514"/>
      <c r="N124" s="514"/>
      <c r="O124" s="514"/>
      <c r="P124" s="514"/>
      <c r="Q124" s="514"/>
      <c r="R124" s="512"/>
      <c r="S124" s="512"/>
      <c r="T124" s="512"/>
      <c r="U124" s="1034"/>
    </row>
    <row r="125" spans="2:21" x14ac:dyDescent="0.2">
      <c r="B125" s="512"/>
      <c r="C125" s="512"/>
      <c r="D125" s="512"/>
      <c r="E125" s="512"/>
      <c r="F125" s="512"/>
      <c r="G125" s="512"/>
      <c r="H125" s="1033"/>
      <c r="I125" s="1034"/>
      <c r="J125" s="1034"/>
      <c r="K125" s="1034"/>
      <c r="L125" s="1034"/>
      <c r="M125" s="514"/>
      <c r="N125" s="514"/>
      <c r="O125" s="514"/>
      <c r="P125" s="514"/>
      <c r="Q125" s="514"/>
      <c r="R125" s="512"/>
      <c r="S125" s="512"/>
      <c r="T125" s="512"/>
      <c r="U125" s="1034"/>
    </row>
    <row r="126" spans="2:21" x14ac:dyDescent="0.2">
      <c r="B126" s="512"/>
      <c r="C126" s="512"/>
      <c r="D126" s="512"/>
      <c r="E126" s="512"/>
      <c r="F126" s="512"/>
      <c r="G126" s="512"/>
      <c r="H126" s="1033"/>
      <c r="I126" s="1034"/>
      <c r="J126" s="1034"/>
      <c r="K126" s="1034"/>
      <c r="L126" s="1034"/>
      <c r="M126" s="514"/>
      <c r="N126" s="514"/>
      <c r="O126" s="514"/>
      <c r="P126" s="514"/>
      <c r="Q126" s="514"/>
      <c r="R126" s="512"/>
      <c r="S126" s="512"/>
      <c r="T126" s="512"/>
      <c r="U126" s="1034"/>
    </row>
    <row r="127" spans="2:21" x14ac:dyDescent="0.2">
      <c r="B127" s="512"/>
      <c r="C127" s="512"/>
      <c r="D127" s="512"/>
      <c r="E127" s="512"/>
      <c r="F127" s="512"/>
      <c r="G127" s="512"/>
      <c r="H127" s="1033"/>
      <c r="I127" s="1034"/>
      <c r="J127" s="1034"/>
      <c r="K127" s="1034"/>
      <c r="L127" s="1034"/>
      <c r="M127" s="514"/>
      <c r="N127" s="514"/>
      <c r="O127" s="514"/>
      <c r="P127" s="514"/>
      <c r="Q127" s="514"/>
      <c r="R127" s="512"/>
      <c r="S127" s="512"/>
      <c r="T127" s="512"/>
      <c r="U127" s="1034"/>
    </row>
    <row r="128" spans="2:21" x14ac:dyDescent="0.2">
      <c r="B128" s="512"/>
      <c r="C128" s="512"/>
      <c r="D128" s="512"/>
      <c r="E128" s="512"/>
      <c r="F128" s="512"/>
      <c r="G128" s="512"/>
      <c r="H128" s="1033"/>
      <c r="I128" s="1034"/>
      <c r="J128" s="1034"/>
      <c r="K128" s="1034"/>
      <c r="L128" s="1034"/>
      <c r="M128" s="514"/>
      <c r="N128" s="514"/>
      <c r="O128" s="514"/>
      <c r="P128" s="514"/>
      <c r="Q128" s="514"/>
      <c r="R128" s="512"/>
      <c r="S128" s="512"/>
      <c r="T128" s="512"/>
      <c r="U128" s="1034"/>
    </row>
    <row r="129" spans="2:21" x14ac:dyDescent="0.2">
      <c r="B129" s="512"/>
      <c r="C129" s="512"/>
      <c r="D129" s="512"/>
      <c r="E129" s="512"/>
      <c r="F129" s="512"/>
      <c r="G129" s="512"/>
      <c r="H129" s="1033"/>
      <c r="I129" s="1034"/>
      <c r="J129" s="1034"/>
      <c r="K129" s="1034"/>
      <c r="L129" s="1034"/>
      <c r="M129" s="514"/>
      <c r="N129" s="514"/>
      <c r="O129" s="514"/>
      <c r="P129" s="514"/>
      <c r="Q129" s="514"/>
      <c r="R129" s="512"/>
      <c r="S129" s="512"/>
      <c r="T129" s="512"/>
      <c r="U129" s="1034"/>
    </row>
    <row r="130" spans="2:21" x14ac:dyDescent="0.2">
      <c r="B130" s="512"/>
      <c r="C130" s="512"/>
      <c r="D130" s="512"/>
      <c r="E130" s="512"/>
      <c r="F130" s="512"/>
      <c r="G130" s="512"/>
      <c r="H130" s="1033"/>
      <c r="I130" s="1034"/>
      <c r="J130" s="1034"/>
      <c r="K130" s="1034"/>
      <c r="L130" s="1034"/>
      <c r="M130" s="514"/>
      <c r="N130" s="514"/>
      <c r="O130" s="514"/>
      <c r="P130" s="514"/>
      <c r="Q130" s="514"/>
      <c r="R130" s="512"/>
      <c r="S130" s="512"/>
      <c r="T130" s="512"/>
      <c r="U130" s="1034"/>
    </row>
    <row r="131" spans="2:21" x14ac:dyDescent="0.2">
      <c r="B131" s="512"/>
      <c r="C131" s="512"/>
      <c r="D131" s="512"/>
      <c r="E131" s="512"/>
      <c r="F131" s="512"/>
      <c r="G131" s="512"/>
      <c r="H131" s="1033"/>
      <c r="I131" s="1034"/>
      <c r="J131" s="1034"/>
      <c r="K131" s="1034"/>
      <c r="L131" s="1034"/>
      <c r="M131" s="514"/>
      <c r="N131" s="514"/>
      <c r="O131" s="514"/>
      <c r="P131" s="514"/>
      <c r="Q131" s="514"/>
      <c r="R131" s="512"/>
      <c r="S131" s="512"/>
      <c r="T131" s="512"/>
      <c r="U131" s="1034"/>
    </row>
    <row r="132" spans="2:21" x14ac:dyDescent="0.2">
      <c r="B132" s="512"/>
      <c r="C132" s="512"/>
      <c r="D132" s="512"/>
      <c r="E132" s="512"/>
      <c r="F132" s="512"/>
      <c r="G132" s="512"/>
      <c r="H132" s="1033"/>
      <c r="I132" s="1034"/>
      <c r="J132" s="1034"/>
      <c r="K132" s="1034"/>
      <c r="L132" s="1034"/>
      <c r="M132" s="514"/>
      <c r="N132" s="514"/>
      <c r="O132" s="514"/>
      <c r="P132" s="514"/>
      <c r="Q132" s="514"/>
      <c r="R132" s="512"/>
      <c r="S132" s="512"/>
      <c r="T132" s="512"/>
      <c r="U132" s="1034"/>
    </row>
    <row r="133" spans="2:21" x14ac:dyDescent="0.2">
      <c r="B133" s="512"/>
      <c r="C133" s="512"/>
      <c r="D133" s="512"/>
      <c r="E133" s="512"/>
      <c r="F133" s="512"/>
      <c r="G133" s="512"/>
      <c r="H133" s="1033"/>
      <c r="I133" s="1034"/>
      <c r="J133" s="1034"/>
      <c r="K133" s="1034"/>
      <c r="L133" s="1034"/>
      <c r="M133" s="514"/>
      <c r="N133" s="514"/>
      <c r="O133" s="514"/>
      <c r="P133" s="514"/>
      <c r="Q133" s="514"/>
      <c r="R133" s="512"/>
      <c r="S133" s="512"/>
      <c r="T133" s="512"/>
      <c r="U133" s="1034"/>
    </row>
    <row r="134" spans="2:21" x14ac:dyDescent="0.2">
      <c r="B134" s="512"/>
      <c r="C134" s="512"/>
      <c r="D134" s="512"/>
      <c r="E134" s="512"/>
      <c r="F134" s="512"/>
      <c r="G134" s="512"/>
      <c r="H134" s="1033"/>
      <c r="I134" s="1034"/>
      <c r="J134" s="1034"/>
      <c r="K134" s="1034"/>
      <c r="L134" s="1034"/>
      <c r="M134" s="514"/>
      <c r="N134" s="514"/>
      <c r="O134" s="514"/>
      <c r="P134" s="514"/>
      <c r="Q134" s="514"/>
      <c r="R134" s="512"/>
      <c r="S134" s="512"/>
      <c r="T134" s="512"/>
      <c r="U134" s="1034"/>
    </row>
    <row r="135" spans="2:21" x14ac:dyDescent="0.2">
      <c r="B135" s="512"/>
      <c r="C135" s="512"/>
      <c r="D135" s="512"/>
      <c r="E135" s="512"/>
      <c r="F135" s="512"/>
      <c r="G135" s="512"/>
      <c r="H135" s="1033"/>
      <c r="I135" s="1034"/>
      <c r="J135" s="1034"/>
      <c r="K135" s="1034"/>
      <c r="L135" s="1034"/>
      <c r="M135" s="514"/>
      <c r="N135" s="514"/>
      <c r="O135" s="514"/>
      <c r="P135" s="514"/>
      <c r="Q135" s="514"/>
      <c r="R135" s="512"/>
      <c r="S135" s="512"/>
      <c r="T135" s="512"/>
      <c r="U135" s="1034"/>
    </row>
    <row r="136" spans="2:21" x14ac:dyDescent="0.2">
      <c r="B136" s="512"/>
      <c r="C136" s="512"/>
      <c r="D136" s="512"/>
      <c r="E136" s="512"/>
      <c r="F136" s="512"/>
      <c r="G136" s="512"/>
      <c r="H136" s="1033"/>
      <c r="I136" s="1034"/>
      <c r="J136" s="1034"/>
      <c r="K136" s="1034"/>
      <c r="L136" s="1034"/>
      <c r="M136" s="514"/>
      <c r="N136" s="514"/>
      <c r="O136" s="514"/>
      <c r="P136" s="514"/>
      <c r="Q136" s="514"/>
      <c r="R136" s="512"/>
      <c r="S136" s="512"/>
      <c r="T136" s="512"/>
      <c r="U136" s="1034"/>
    </row>
    <row r="137" spans="2:21" x14ac:dyDescent="0.2">
      <c r="B137" s="512"/>
      <c r="C137" s="512"/>
      <c r="D137" s="512"/>
      <c r="E137" s="512"/>
      <c r="F137" s="512"/>
      <c r="G137" s="512"/>
      <c r="H137" s="1033"/>
      <c r="I137" s="1034"/>
      <c r="J137" s="1034"/>
      <c r="K137" s="1034"/>
      <c r="L137" s="1034"/>
      <c r="M137" s="514"/>
      <c r="N137" s="514"/>
      <c r="O137" s="514"/>
      <c r="P137" s="514"/>
      <c r="Q137" s="514"/>
      <c r="R137" s="512"/>
      <c r="S137" s="512"/>
      <c r="T137" s="512"/>
      <c r="U137" s="1034"/>
    </row>
    <row r="138" spans="2:21" x14ac:dyDescent="0.2">
      <c r="B138" s="512"/>
      <c r="C138" s="512"/>
      <c r="D138" s="512"/>
      <c r="E138" s="512"/>
      <c r="F138" s="512"/>
      <c r="G138" s="512"/>
      <c r="H138" s="1033"/>
      <c r="I138" s="1034"/>
      <c r="J138" s="1034"/>
      <c r="K138" s="1034"/>
      <c r="L138" s="1034"/>
      <c r="M138" s="514"/>
      <c r="N138" s="514"/>
      <c r="O138" s="514"/>
      <c r="P138" s="514"/>
      <c r="Q138" s="514"/>
      <c r="R138" s="512"/>
      <c r="S138" s="512"/>
      <c r="T138" s="512"/>
      <c r="U138" s="1034"/>
    </row>
    <row r="139" spans="2:21" x14ac:dyDescent="0.2">
      <c r="B139" s="512"/>
      <c r="C139" s="512"/>
      <c r="D139" s="512"/>
      <c r="E139" s="512"/>
      <c r="F139" s="512"/>
      <c r="G139" s="512"/>
      <c r="H139" s="1033"/>
      <c r="I139" s="1034"/>
      <c r="J139" s="1034"/>
      <c r="K139" s="1034"/>
      <c r="L139" s="1034"/>
      <c r="M139" s="514"/>
      <c r="N139" s="514"/>
      <c r="O139" s="514"/>
      <c r="P139" s="514"/>
      <c r="Q139" s="514"/>
      <c r="R139" s="512"/>
      <c r="S139" s="512"/>
      <c r="T139" s="512"/>
      <c r="U139" s="1034"/>
    </row>
    <row r="140" spans="2:21" x14ac:dyDescent="0.2">
      <c r="B140" s="512"/>
      <c r="C140" s="512"/>
      <c r="D140" s="512"/>
      <c r="E140" s="512"/>
      <c r="F140" s="512"/>
      <c r="G140" s="512"/>
      <c r="H140" s="1033"/>
      <c r="I140" s="1034"/>
      <c r="J140" s="1034"/>
      <c r="K140" s="1034"/>
      <c r="L140" s="1034"/>
      <c r="M140" s="514"/>
      <c r="N140" s="514"/>
      <c r="O140" s="514"/>
      <c r="P140" s="514"/>
      <c r="Q140" s="514"/>
      <c r="R140" s="512"/>
      <c r="S140" s="512"/>
      <c r="T140" s="512"/>
      <c r="U140" s="1034"/>
    </row>
    <row r="141" spans="2:21" x14ac:dyDescent="0.2">
      <c r="B141" s="512"/>
      <c r="C141" s="512"/>
      <c r="D141" s="512"/>
      <c r="E141" s="512"/>
      <c r="F141" s="512"/>
      <c r="G141" s="512"/>
      <c r="H141" s="1033"/>
      <c r="I141" s="1034"/>
      <c r="J141" s="1034"/>
      <c r="K141" s="1034"/>
      <c r="L141" s="1034"/>
      <c r="M141" s="514"/>
      <c r="N141" s="514"/>
      <c r="O141" s="514"/>
      <c r="P141" s="514"/>
      <c r="Q141" s="514"/>
      <c r="R141" s="512"/>
      <c r="S141" s="512"/>
      <c r="T141" s="512"/>
      <c r="U141" s="1034"/>
    </row>
    <row r="142" spans="2:21" x14ac:dyDescent="0.2">
      <c r="B142" s="512"/>
      <c r="C142" s="512"/>
      <c r="D142" s="512"/>
      <c r="E142" s="512"/>
      <c r="F142" s="512"/>
      <c r="G142" s="512"/>
      <c r="H142" s="1033"/>
      <c r="I142" s="1034"/>
      <c r="J142" s="1034"/>
      <c r="K142" s="1034"/>
      <c r="L142" s="1034"/>
      <c r="M142" s="514"/>
      <c r="N142" s="514"/>
      <c r="O142" s="514"/>
      <c r="P142" s="514"/>
      <c r="Q142" s="514"/>
      <c r="R142" s="512"/>
      <c r="S142" s="512"/>
      <c r="T142" s="512"/>
      <c r="U142" s="1034"/>
    </row>
    <row r="143" spans="2:21" x14ac:dyDescent="0.2">
      <c r="B143" s="512"/>
      <c r="C143" s="512"/>
      <c r="D143" s="512"/>
      <c r="E143" s="512"/>
      <c r="F143" s="512"/>
      <c r="G143" s="512"/>
      <c r="H143" s="1033"/>
      <c r="I143" s="1034"/>
      <c r="J143" s="1034"/>
      <c r="K143" s="1034"/>
      <c r="L143" s="1034"/>
      <c r="M143" s="514"/>
      <c r="N143" s="514"/>
      <c r="O143" s="514"/>
      <c r="P143" s="514"/>
      <c r="Q143" s="514"/>
      <c r="R143" s="512"/>
      <c r="S143" s="512"/>
      <c r="T143" s="512"/>
      <c r="U143" s="1034"/>
    </row>
    <row r="144" spans="2:21" x14ac:dyDescent="0.2">
      <c r="B144" s="512"/>
      <c r="C144" s="512"/>
      <c r="D144" s="512"/>
      <c r="E144" s="512"/>
      <c r="F144" s="512"/>
      <c r="G144" s="512"/>
      <c r="H144" s="1033"/>
      <c r="I144" s="1034"/>
      <c r="J144" s="1034"/>
      <c r="K144" s="1034"/>
      <c r="L144" s="1034"/>
      <c r="M144" s="514"/>
      <c r="N144" s="514"/>
      <c r="O144" s="514"/>
      <c r="P144" s="514"/>
      <c r="Q144" s="514"/>
      <c r="R144" s="512"/>
      <c r="S144" s="512"/>
      <c r="T144" s="512"/>
      <c r="U144" s="1034"/>
    </row>
    <row r="145" spans="2:21" x14ac:dyDescent="0.2">
      <c r="B145" s="512"/>
      <c r="C145" s="512"/>
      <c r="D145" s="512"/>
      <c r="E145" s="512"/>
      <c r="F145" s="512"/>
      <c r="G145" s="512"/>
      <c r="H145" s="1033"/>
      <c r="I145" s="1034"/>
      <c r="J145" s="1034"/>
      <c r="K145" s="1034"/>
      <c r="L145" s="1034"/>
      <c r="M145" s="514"/>
      <c r="N145" s="514"/>
      <c r="O145" s="514"/>
      <c r="P145" s="514"/>
      <c r="Q145" s="514"/>
      <c r="R145" s="512"/>
      <c r="S145" s="512"/>
      <c r="T145" s="512"/>
      <c r="U145" s="1034"/>
    </row>
    <row r="146" spans="2:21" x14ac:dyDescent="0.2">
      <c r="B146" s="512"/>
      <c r="C146" s="512"/>
      <c r="D146" s="512"/>
      <c r="E146" s="512"/>
      <c r="F146" s="512"/>
      <c r="G146" s="512"/>
      <c r="H146" s="1033"/>
      <c r="I146" s="1034"/>
      <c r="J146" s="1034"/>
      <c r="K146" s="1034"/>
      <c r="L146" s="1034"/>
      <c r="M146" s="514"/>
      <c r="N146" s="514"/>
      <c r="O146" s="514"/>
      <c r="P146" s="514"/>
      <c r="Q146" s="514"/>
      <c r="R146" s="512"/>
      <c r="S146" s="512"/>
      <c r="T146" s="512"/>
      <c r="U146" s="1034"/>
    </row>
    <row r="147" spans="2:21" x14ac:dyDescent="0.2">
      <c r="B147" s="512"/>
      <c r="C147" s="512"/>
      <c r="D147" s="512"/>
      <c r="E147" s="512"/>
      <c r="F147" s="512"/>
      <c r="G147" s="512"/>
      <c r="H147" s="1033"/>
      <c r="I147" s="1034"/>
      <c r="J147" s="1034"/>
      <c r="K147" s="1034"/>
      <c r="L147" s="1034"/>
      <c r="M147" s="514"/>
      <c r="N147" s="514"/>
      <c r="O147" s="514"/>
      <c r="P147" s="514"/>
      <c r="Q147" s="514"/>
      <c r="R147" s="512"/>
      <c r="S147" s="512"/>
      <c r="T147" s="512"/>
      <c r="U147" s="1034"/>
    </row>
    <row r="148" spans="2:21" x14ac:dyDescent="0.2">
      <c r="B148" s="512"/>
      <c r="C148" s="512"/>
      <c r="D148" s="512"/>
      <c r="E148" s="512"/>
      <c r="F148" s="512"/>
      <c r="G148" s="512"/>
      <c r="H148" s="1033"/>
      <c r="I148" s="1034"/>
      <c r="J148" s="1034"/>
      <c r="K148" s="1034"/>
      <c r="L148" s="1034"/>
      <c r="M148" s="514"/>
      <c r="N148" s="514"/>
      <c r="O148" s="514"/>
      <c r="P148" s="514"/>
      <c r="Q148" s="514"/>
      <c r="R148" s="512"/>
      <c r="S148" s="512"/>
      <c r="T148" s="512"/>
      <c r="U148" s="1034"/>
    </row>
    <row r="149" spans="2:21" x14ac:dyDescent="0.2">
      <c r="B149" s="512"/>
      <c r="C149" s="512"/>
      <c r="D149" s="512"/>
      <c r="E149" s="512"/>
      <c r="F149" s="512"/>
      <c r="G149" s="512"/>
      <c r="H149" s="1033"/>
      <c r="I149" s="1034"/>
      <c r="J149" s="1034"/>
      <c r="K149" s="1034"/>
      <c r="L149" s="1034"/>
      <c r="M149" s="514"/>
      <c r="N149" s="514"/>
      <c r="O149" s="514"/>
      <c r="P149" s="514"/>
      <c r="Q149" s="514"/>
      <c r="R149" s="512"/>
      <c r="S149" s="512"/>
      <c r="T149" s="512"/>
      <c r="U149" s="1034"/>
    </row>
    <row r="150" spans="2:21" x14ac:dyDescent="0.2">
      <c r="B150" s="512"/>
      <c r="C150" s="512"/>
      <c r="D150" s="512"/>
      <c r="E150" s="512"/>
      <c r="F150" s="512"/>
      <c r="G150" s="512"/>
      <c r="H150" s="1033"/>
      <c r="I150" s="1034"/>
      <c r="J150" s="1034"/>
      <c r="K150" s="1034"/>
      <c r="L150" s="1034"/>
      <c r="M150" s="514"/>
      <c r="N150" s="514"/>
      <c r="O150" s="514"/>
      <c r="P150" s="514"/>
      <c r="Q150" s="514"/>
      <c r="R150" s="512"/>
      <c r="S150" s="512"/>
      <c r="T150" s="512"/>
      <c r="U150" s="1034"/>
    </row>
    <row r="151" spans="2:21" x14ac:dyDescent="0.2">
      <c r="B151" s="512"/>
      <c r="C151" s="512"/>
      <c r="D151" s="512"/>
      <c r="E151" s="512"/>
      <c r="F151" s="512"/>
      <c r="G151" s="512"/>
      <c r="H151" s="1033"/>
      <c r="I151" s="1034"/>
      <c r="J151" s="1034"/>
      <c r="K151" s="1034"/>
      <c r="L151" s="1034"/>
      <c r="M151" s="514"/>
      <c r="N151" s="514"/>
      <c r="O151" s="514"/>
      <c r="P151" s="514"/>
      <c r="Q151" s="514"/>
      <c r="R151" s="512"/>
      <c r="S151" s="512"/>
      <c r="T151" s="512"/>
      <c r="U151" s="1034"/>
    </row>
    <row r="152" spans="2:21" x14ac:dyDescent="0.2">
      <c r="B152" s="512"/>
      <c r="C152" s="512"/>
      <c r="D152" s="512"/>
      <c r="E152" s="512"/>
      <c r="F152" s="512"/>
      <c r="G152" s="512"/>
      <c r="H152" s="1033"/>
      <c r="I152" s="1034"/>
      <c r="J152" s="1034"/>
      <c r="K152" s="1034"/>
      <c r="L152" s="1034"/>
      <c r="M152" s="514"/>
      <c r="N152" s="514"/>
      <c r="O152" s="514"/>
      <c r="P152" s="514"/>
      <c r="Q152" s="514"/>
      <c r="R152" s="512"/>
      <c r="S152" s="512"/>
      <c r="T152" s="512"/>
      <c r="U152" s="1034"/>
    </row>
    <row r="153" spans="2:21" x14ac:dyDescent="0.2">
      <c r="B153" s="512"/>
      <c r="C153" s="512"/>
      <c r="D153" s="512"/>
      <c r="E153" s="512"/>
      <c r="F153" s="512"/>
      <c r="G153" s="512"/>
      <c r="H153" s="1033"/>
      <c r="I153" s="1034"/>
      <c r="J153" s="1034"/>
      <c r="K153" s="1034"/>
      <c r="L153" s="1034"/>
      <c r="M153" s="514"/>
      <c r="N153" s="514"/>
      <c r="O153" s="514"/>
      <c r="P153" s="514"/>
      <c r="Q153" s="514"/>
      <c r="R153" s="512"/>
      <c r="S153" s="512"/>
      <c r="T153" s="512"/>
      <c r="U153" s="1034"/>
    </row>
    <row r="154" spans="2:21" x14ac:dyDescent="0.2">
      <c r="B154" s="512"/>
      <c r="C154" s="512"/>
      <c r="D154" s="512"/>
      <c r="E154" s="512"/>
      <c r="F154" s="512"/>
      <c r="G154" s="512"/>
      <c r="H154" s="1033"/>
      <c r="I154" s="1034"/>
      <c r="J154" s="1034"/>
      <c r="K154" s="1034"/>
      <c r="L154" s="1034"/>
      <c r="M154" s="514"/>
      <c r="N154" s="514"/>
      <c r="O154" s="514"/>
      <c r="P154" s="514"/>
      <c r="Q154" s="514"/>
      <c r="R154" s="512"/>
      <c r="S154" s="512"/>
      <c r="T154" s="512"/>
      <c r="U154" s="1034"/>
    </row>
    <row r="155" spans="2:21" x14ac:dyDescent="0.2">
      <c r="B155" s="512"/>
      <c r="C155" s="512"/>
      <c r="D155" s="512"/>
      <c r="E155" s="512"/>
      <c r="F155" s="512"/>
      <c r="G155" s="512"/>
      <c r="H155" s="1033"/>
      <c r="I155" s="1034"/>
      <c r="J155" s="1034"/>
      <c r="K155" s="1034"/>
      <c r="L155" s="1034"/>
      <c r="M155" s="514"/>
      <c r="N155" s="514"/>
      <c r="O155" s="514"/>
      <c r="P155" s="514"/>
      <c r="Q155" s="514"/>
      <c r="R155" s="512"/>
      <c r="S155" s="512"/>
      <c r="T155" s="512"/>
      <c r="U155" s="1034"/>
    </row>
    <row r="156" spans="2:21" x14ac:dyDescent="0.2">
      <c r="B156" s="512"/>
      <c r="C156" s="512"/>
      <c r="D156" s="512"/>
      <c r="E156" s="512"/>
      <c r="F156" s="512"/>
      <c r="G156" s="512"/>
      <c r="H156" s="1033"/>
      <c r="I156" s="1034"/>
      <c r="J156" s="1034"/>
      <c r="K156" s="1034"/>
      <c r="L156" s="1034"/>
      <c r="M156" s="514"/>
      <c r="N156" s="514"/>
      <c r="O156" s="514"/>
      <c r="P156" s="514"/>
      <c r="Q156" s="514"/>
      <c r="R156" s="512"/>
      <c r="S156" s="512"/>
      <c r="T156" s="512"/>
      <c r="U156" s="1034"/>
    </row>
    <row r="157" spans="2:21" x14ac:dyDescent="0.2">
      <c r="B157" s="512"/>
      <c r="C157" s="512"/>
      <c r="D157" s="512"/>
      <c r="E157" s="512"/>
      <c r="F157" s="512"/>
      <c r="G157" s="512"/>
      <c r="H157" s="1033"/>
      <c r="I157" s="1034"/>
      <c r="J157" s="1034"/>
      <c r="K157" s="1034"/>
      <c r="L157" s="1034"/>
      <c r="M157" s="514"/>
      <c r="N157" s="514"/>
      <c r="O157" s="514"/>
      <c r="P157" s="514"/>
      <c r="Q157" s="514"/>
      <c r="R157" s="512"/>
      <c r="S157" s="512"/>
      <c r="T157" s="512"/>
      <c r="U157" s="1034"/>
    </row>
    <row r="158" spans="2:21" x14ac:dyDescent="0.2">
      <c r="B158" s="512"/>
      <c r="C158" s="512"/>
      <c r="D158" s="512"/>
      <c r="E158" s="512"/>
      <c r="F158" s="512"/>
      <c r="G158" s="512"/>
      <c r="H158" s="1033"/>
      <c r="I158" s="1034"/>
      <c r="J158" s="1034"/>
      <c r="K158" s="1034"/>
      <c r="L158" s="1034"/>
      <c r="M158" s="514"/>
      <c r="N158" s="514"/>
      <c r="O158" s="514"/>
      <c r="P158" s="514"/>
      <c r="Q158" s="514"/>
      <c r="R158" s="512"/>
      <c r="S158" s="512"/>
      <c r="T158" s="512"/>
      <c r="U158" s="1034"/>
    </row>
    <row r="159" spans="2:21" x14ac:dyDescent="0.2">
      <c r="B159" s="512"/>
      <c r="C159" s="512"/>
      <c r="D159" s="512"/>
      <c r="E159" s="512"/>
      <c r="F159" s="512"/>
      <c r="G159" s="512"/>
      <c r="H159" s="1033"/>
      <c r="I159" s="1034"/>
      <c r="J159" s="1034"/>
      <c r="K159" s="1034"/>
      <c r="L159" s="1034"/>
      <c r="M159" s="514"/>
      <c r="N159" s="514"/>
      <c r="O159" s="514"/>
      <c r="P159" s="514"/>
      <c r="Q159" s="514"/>
      <c r="R159" s="512"/>
      <c r="S159" s="512"/>
      <c r="T159" s="512"/>
      <c r="U159" s="1034"/>
    </row>
    <row r="160" spans="2:21" x14ac:dyDescent="0.2">
      <c r="B160" s="512"/>
      <c r="C160" s="512"/>
      <c r="D160" s="512"/>
      <c r="E160" s="512"/>
      <c r="F160" s="512"/>
      <c r="G160" s="512"/>
      <c r="H160" s="1033"/>
      <c r="I160" s="1034"/>
      <c r="J160" s="1034"/>
      <c r="K160" s="1034"/>
      <c r="L160" s="1034"/>
      <c r="M160" s="514"/>
      <c r="N160" s="514"/>
      <c r="O160" s="514"/>
      <c r="P160" s="514"/>
      <c r="Q160" s="514"/>
      <c r="R160" s="512"/>
      <c r="S160" s="512"/>
      <c r="T160" s="512"/>
      <c r="U160" s="1034"/>
    </row>
    <row r="161" spans="2:21" x14ac:dyDescent="0.2">
      <c r="B161" s="512"/>
      <c r="C161" s="512"/>
      <c r="D161" s="512"/>
      <c r="E161" s="512"/>
      <c r="F161" s="512"/>
      <c r="G161" s="512"/>
      <c r="H161" s="1033"/>
      <c r="I161" s="1034"/>
      <c r="J161" s="1034"/>
      <c r="K161" s="1034"/>
      <c r="L161" s="1034"/>
      <c r="M161" s="514"/>
      <c r="N161" s="514"/>
      <c r="O161" s="514"/>
      <c r="P161" s="514"/>
      <c r="Q161" s="514"/>
      <c r="R161" s="512"/>
      <c r="S161" s="512"/>
      <c r="T161" s="512"/>
      <c r="U161" s="1034"/>
    </row>
    <row r="162" spans="2:21" x14ac:dyDescent="0.2">
      <c r="B162" s="512"/>
      <c r="C162" s="512"/>
      <c r="D162" s="512"/>
      <c r="E162" s="512"/>
      <c r="F162" s="512"/>
      <c r="G162" s="512"/>
      <c r="H162" s="1033"/>
      <c r="I162" s="1034"/>
      <c r="J162" s="1034"/>
      <c r="K162" s="1034"/>
      <c r="L162" s="1034"/>
      <c r="M162" s="514"/>
      <c r="N162" s="514"/>
      <c r="O162" s="514"/>
      <c r="P162" s="514"/>
      <c r="Q162" s="514"/>
      <c r="R162" s="512"/>
      <c r="S162" s="512"/>
      <c r="T162" s="512"/>
      <c r="U162" s="1034"/>
    </row>
    <row r="163" spans="2:21" x14ac:dyDescent="0.2">
      <c r="B163" s="512"/>
      <c r="C163" s="512"/>
      <c r="D163" s="512"/>
      <c r="E163" s="512"/>
      <c r="F163" s="512"/>
      <c r="G163" s="512"/>
      <c r="H163" s="1033"/>
      <c r="I163" s="1034"/>
      <c r="J163" s="1034"/>
      <c r="K163" s="1034"/>
      <c r="L163" s="1034"/>
      <c r="M163" s="514"/>
      <c r="N163" s="514"/>
      <c r="O163" s="514"/>
      <c r="P163" s="514"/>
      <c r="Q163" s="514"/>
      <c r="R163" s="512"/>
      <c r="S163" s="512"/>
      <c r="T163" s="512"/>
      <c r="U163" s="1034"/>
    </row>
    <row r="164" spans="2:21" x14ac:dyDescent="0.2">
      <c r="B164" s="512"/>
      <c r="C164" s="512"/>
      <c r="D164" s="512"/>
      <c r="E164" s="512"/>
      <c r="F164" s="512"/>
      <c r="G164" s="512"/>
      <c r="H164" s="1033"/>
      <c r="I164" s="1034"/>
      <c r="J164" s="1034"/>
      <c r="K164" s="1034"/>
      <c r="L164" s="1034"/>
      <c r="M164" s="514"/>
      <c r="N164" s="514"/>
      <c r="O164" s="514"/>
      <c r="P164" s="514"/>
      <c r="Q164" s="514"/>
      <c r="R164" s="512"/>
      <c r="S164" s="512"/>
      <c r="T164" s="512"/>
      <c r="U164" s="1034"/>
    </row>
    <row r="165" spans="2:21" x14ac:dyDescent="0.2">
      <c r="B165" s="512"/>
      <c r="C165" s="512"/>
      <c r="D165" s="512"/>
      <c r="E165" s="512"/>
      <c r="F165" s="512"/>
      <c r="G165" s="512"/>
      <c r="H165" s="1033"/>
      <c r="I165" s="1034"/>
      <c r="J165" s="1034"/>
      <c r="K165" s="1034"/>
      <c r="L165" s="1034"/>
      <c r="M165" s="514"/>
      <c r="N165" s="514"/>
      <c r="O165" s="514"/>
      <c r="P165" s="514"/>
      <c r="Q165" s="514"/>
      <c r="R165" s="512"/>
      <c r="S165" s="512"/>
      <c r="T165" s="512"/>
      <c r="U165" s="1034"/>
    </row>
    <row r="166" spans="2:21" x14ac:dyDescent="0.2">
      <c r="B166" s="512"/>
      <c r="C166" s="512"/>
      <c r="D166" s="512"/>
      <c r="E166" s="512"/>
      <c r="F166" s="512"/>
      <c r="G166" s="512"/>
      <c r="H166" s="1033"/>
      <c r="I166" s="1034"/>
      <c r="J166" s="1034"/>
      <c r="K166" s="1034"/>
      <c r="L166" s="1034"/>
      <c r="M166" s="514"/>
      <c r="N166" s="514"/>
      <c r="O166" s="514"/>
      <c r="P166" s="514"/>
      <c r="Q166" s="514"/>
      <c r="R166" s="512"/>
      <c r="S166" s="512"/>
      <c r="T166" s="512"/>
      <c r="U166" s="1034"/>
    </row>
    <row r="167" spans="2:21" x14ac:dyDescent="0.2">
      <c r="B167" s="512"/>
      <c r="C167" s="512"/>
      <c r="D167" s="512"/>
      <c r="E167" s="512"/>
      <c r="F167" s="512"/>
      <c r="G167" s="512"/>
      <c r="H167" s="1033"/>
      <c r="I167" s="1034"/>
      <c r="J167" s="1034"/>
      <c r="K167" s="1034"/>
      <c r="L167" s="1034"/>
      <c r="M167" s="514"/>
      <c r="N167" s="514"/>
      <c r="O167" s="514"/>
      <c r="P167" s="514"/>
      <c r="Q167" s="514"/>
      <c r="R167" s="512"/>
      <c r="S167" s="512"/>
      <c r="T167" s="512"/>
      <c r="U167" s="1034"/>
    </row>
    <row r="168" spans="2:21" x14ac:dyDescent="0.2">
      <c r="B168" s="512"/>
      <c r="C168" s="512"/>
      <c r="D168" s="512"/>
      <c r="E168" s="512"/>
      <c r="F168" s="512"/>
      <c r="G168" s="512"/>
      <c r="H168" s="1033"/>
      <c r="I168" s="1034"/>
      <c r="J168" s="1034"/>
      <c r="K168" s="1034"/>
      <c r="L168" s="1034"/>
      <c r="M168" s="514"/>
      <c r="N168" s="514"/>
      <c r="O168" s="514"/>
      <c r="P168" s="514"/>
      <c r="Q168" s="514"/>
      <c r="R168" s="512"/>
      <c r="S168" s="512"/>
      <c r="T168" s="512"/>
      <c r="U168" s="1034"/>
    </row>
    <row r="169" spans="2:21" x14ac:dyDescent="0.2">
      <c r="B169" s="512"/>
      <c r="C169" s="512"/>
      <c r="D169" s="512"/>
      <c r="E169" s="512"/>
      <c r="F169" s="512"/>
      <c r="G169" s="512"/>
      <c r="H169" s="1033"/>
      <c r="I169" s="1034"/>
      <c r="J169" s="1034"/>
      <c r="K169" s="1034"/>
      <c r="L169" s="1034"/>
      <c r="M169" s="514"/>
      <c r="N169" s="514"/>
      <c r="O169" s="514"/>
      <c r="P169" s="514"/>
      <c r="Q169" s="514"/>
      <c r="R169" s="512"/>
      <c r="S169" s="512"/>
      <c r="T169" s="512"/>
      <c r="U169" s="1034"/>
    </row>
    <row r="170" spans="2:21" x14ac:dyDescent="0.2">
      <c r="B170" s="512"/>
      <c r="C170" s="512"/>
      <c r="D170" s="512"/>
      <c r="E170" s="512"/>
      <c r="F170" s="512"/>
      <c r="G170" s="512"/>
      <c r="H170" s="1033"/>
      <c r="I170" s="1034"/>
      <c r="J170" s="1034"/>
      <c r="K170" s="1034"/>
      <c r="L170" s="1034"/>
      <c r="M170" s="514"/>
      <c r="N170" s="514"/>
      <c r="O170" s="514"/>
      <c r="P170" s="514"/>
      <c r="Q170" s="514"/>
      <c r="R170" s="512"/>
      <c r="S170" s="512"/>
      <c r="T170" s="512"/>
      <c r="U170" s="1034"/>
    </row>
    <row r="171" spans="2:21" x14ac:dyDescent="0.2">
      <c r="B171" s="512"/>
      <c r="C171" s="512"/>
      <c r="D171" s="512"/>
      <c r="E171" s="512"/>
      <c r="F171" s="512"/>
      <c r="G171" s="512"/>
      <c r="H171" s="1033"/>
      <c r="I171" s="1034"/>
      <c r="J171" s="1034"/>
      <c r="K171" s="1034"/>
      <c r="L171" s="1034"/>
      <c r="M171" s="514"/>
      <c r="N171" s="514"/>
      <c r="O171" s="514"/>
      <c r="P171" s="514"/>
      <c r="Q171" s="514"/>
      <c r="R171" s="512"/>
      <c r="S171" s="512"/>
      <c r="T171" s="512"/>
      <c r="U171" s="1034"/>
    </row>
    <row r="172" spans="2:21" x14ac:dyDescent="0.2">
      <c r="B172" s="512"/>
      <c r="C172" s="512"/>
      <c r="D172" s="512"/>
      <c r="E172" s="512"/>
      <c r="F172" s="512"/>
      <c r="G172" s="512"/>
      <c r="H172" s="1033"/>
      <c r="I172" s="1034"/>
      <c r="J172" s="1034"/>
      <c r="K172" s="1034"/>
      <c r="L172" s="1034"/>
      <c r="M172" s="514"/>
      <c r="N172" s="514"/>
      <c r="O172" s="514"/>
      <c r="P172" s="514"/>
      <c r="Q172" s="514"/>
      <c r="R172" s="512"/>
      <c r="S172" s="512"/>
      <c r="T172" s="512"/>
      <c r="U172" s="1034"/>
    </row>
    <row r="173" spans="2:21" x14ac:dyDescent="0.2">
      <c r="B173" s="512"/>
      <c r="C173" s="512"/>
      <c r="D173" s="512"/>
      <c r="E173" s="512"/>
      <c r="F173" s="512"/>
      <c r="G173" s="512"/>
      <c r="H173" s="1033"/>
      <c r="I173" s="1034"/>
      <c r="J173" s="1034"/>
      <c r="K173" s="1034"/>
      <c r="L173" s="1034"/>
      <c r="M173" s="514"/>
      <c r="N173" s="514"/>
      <c r="O173" s="514"/>
      <c r="P173" s="514"/>
      <c r="Q173" s="514"/>
      <c r="R173" s="512"/>
      <c r="S173" s="512"/>
      <c r="T173" s="512"/>
      <c r="U173" s="1034"/>
    </row>
    <row r="174" spans="2:21" x14ac:dyDescent="0.2">
      <c r="B174" s="512"/>
      <c r="C174" s="512"/>
      <c r="D174" s="512"/>
      <c r="E174" s="512"/>
      <c r="F174" s="512"/>
      <c r="G174" s="512"/>
      <c r="H174" s="1033"/>
      <c r="I174" s="1034"/>
      <c r="J174" s="1034"/>
      <c r="K174" s="1034"/>
      <c r="L174" s="1034"/>
      <c r="M174" s="514"/>
      <c r="N174" s="514"/>
      <c r="O174" s="514"/>
      <c r="P174" s="514"/>
      <c r="Q174" s="514"/>
      <c r="R174" s="512"/>
      <c r="S174" s="512"/>
      <c r="T174" s="512"/>
      <c r="U174" s="1034"/>
    </row>
    <row r="175" spans="2:21" x14ac:dyDescent="0.2">
      <c r="B175" s="512"/>
      <c r="C175" s="512"/>
      <c r="D175" s="512"/>
      <c r="E175" s="512"/>
      <c r="F175" s="512"/>
      <c r="G175" s="512"/>
      <c r="H175" s="1033"/>
      <c r="I175" s="1034"/>
      <c r="J175" s="1034"/>
      <c r="K175" s="1034"/>
      <c r="L175" s="1034"/>
      <c r="M175" s="514"/>
      <c r="N175" s="514"/>
      <c r="O175" s="514"/>
      <c r="P175" s="514"/>
      <c r="Q175" s="514"/>
      <c r="R175" s="512"/>
      <c r="S175" s="512"/>
      <c r="T175" s="512"/>
      <c r="U175" s="1034"/>
    </row>
    <row r="176" spans="2:21" x14ac:dyDescent="0.2">
      <c r="B176" s="512"/>
      <c r="C176" s="512"/>
      <c r="D176" s="512"/>
      <c r="E176" s="512"/>
      <c r="F176" s="512"/>
      <c r="G176" s="512"/>
      <c r="H176" s="1033"/>
      <c r="I176" s="1034"/>
      <c r="J176" s="1034"/>
      <c r="K176" s="1034"/>
      <c r="L176" s="1034"/>
      <c r="M176" s="514"/>
      <c r="N176" s="514"/>
      <c r="O176" s="514"/>
      <c r="P176" s="514"/>
      <c r="Q176" s="514"/>
      <c r="R176" s="512"/>
      <c r="S176" s="512"/>
      <c r="T176" s="512"/>
      <c r="U176" s="1034"/>
    </row>
  </sheetData>
  <mergeCells count="41">
    <mergeCell ref="A19:C19"/>
    <mergeCell ref="D19:H19"/>
    <mergeCell ref="I19:O19"/>
    <mergeCell ref="P19:U19"/>
    <mergeCell ref="B20:O20"/>
    <mergeCell ref="A17:C17"/>
    <mergeCell ref="D17:H17"/>
    <mergeCell ref="I17:O17"/>
    <mergeCell ref="P17:U17"/>
    <mergeCell ref="A18:C18"/>
    <mergeCell ref="D18:H18"/>
    <mergeCell ref="I18:O18"/>
    <mergeCell ref="P18:U18"/>
    <mergeCell ref="N5:N6"/>
    <mergeCell ref="O5:Q5"/>
    <mergeCell ref="A16:C16"/>
    <mergeCell ref="D16:H16"/>
    <mergeCell ref="I16:O16"/>
    <mergeCell ref="Q16:U16"/>
    <mergeCell ref="U4:U6"/>
    <mergeCell ref="I5:I6"/>
    <mergeCell ref="J5:J6"/>
    <mergeCell ref="K5:K6"/>
    <mergeCell ref="L5:L6"/>
    <mergeCell ref="M5:M6"/>
    <mergeCell ref="A1:U1"/>
    <mergeCell ref="T2:U2"/>
    <mergeCell ref="A3:U3"/>
    <mergeCell ref="A4:A6"/>
    <mergeCell ref="B4:B6"/>
    <mergeCell ref="C4:C6"/>
    <mergeCell ref="D4:D6"/>
    <mergeCell ref="E4:E6"/>
    <mergeCell ref="F4:F6"/>
    <mergeCell ref="G4:G6"/>
    <mergeCell ref="H4:J4"/>
    <mergeCell ref="K4:L4"/>
    <mergeCell ref="M4:Q4"/>
    <mergeCell ref="R4:S4"/>
    <mergeCell ref="T4:T6"/>
    <mergeCell ref="H5:H6"/>
  </mergeCells>
  <pageMargins left="0.11811023622047245" right="7.874015748031496E-2" top="1.0629921259842521" bottom="0.43307086614173229" header="0.74803149606299213" footer="0.27559055118110237"/>
  <pageSetup scale="58" fitToHeight="0" orientation="landscape" r:id="rId1"/>
  <headerFooter alignWithMargins="0">
    <oddHeader>&amp;L&amp;"Arial Narrow,Negrita"       Gobierno Autónomo Departamental de La Paz&amp;C&amp;"Arial,Negrita"&amp;14FORMULARIO N°4 (A)
PROGRAMAS NO RECURRENTE&amp;R&amp;"Arial Narrow,Negrita"Plan Operativo Anual  2021..................</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pageSetUpPr fitToPage="1"/>
  </sheetPr>
  <dimension ref="A1:M170"/>
  <sheetViews>
    <sheetView topLeftCell="C1" zoomScale="130" zoomScaleNormal="130" zoomScaleSheetLayoutView="115" workbookViewId="0">
      <selection activeCell="B30" sqref="B30"/>
    </sheetView>
  </sheetViews>
  <sheetFormatPr baseColWidth="10" defaultRowHeight="12.75" x14ac:dyDescent="0.2"/>
  <cols>
    <col min="1" max="1" width="10" style="26" customWidth="1"/>
    <col min="2" max="2" width="42.28515625" style="26" customWidth="1"/>
    <col min="3" max="3" width="29.140625" style="26" customWidth="1"/>
    <col min="4" max="4" width="13" style="26" customWidth="1"/>
    <col min="5" max="5" width="8.85546875" style="26" bestFit="1" customWidth="1"/>
    <col min="6" max="6" width="9.7109375" style="26" bestFit="1" customWidth="1"/>
    <col min="7" max="7" width="8.85546875" style="26" customWidth="1"/>
    <col min="8" max="8" width="9.28515625" style="26" customWidth="1"/>
    <col min="9" max="16384" width="11.42578125" style="26"/>
  </cols>
  <sheetData>
    <row r="1" spans="1:13" ht="20.25" customHeight="1" x14ac:dyDescent="0.2">
      <c r="A1" s="1569" t="str">
        <f>'FORM-1'!A1:D1</f>
        <v>SECRETARÍA O SERVICIO DEPARTAMENTAL DE GESTION SOCIAL</v>
      </c>
      <c r="B1" s="1569"/>
      <c r="C1" s="1569"/>
      <c r="D1" s="1569"/>
      <c r="E1" s="1569"/>
      <c r="F1" s="1569"/>
      <c r="G1" s="1569"/>
      <c r="H1" s="1569"/>
      <c r="I1" s="44"/>
      <c r="J1" s="44"/>
      <c r="K1" s="44"/>
      <c r="L1" s="44"/>
      <c r="M1" s="44"/>
    </row>
    <row r="2" spans="1:13" ht="16.5" customHeight="1" thickBot="1" x14ac:dyDescent="0.25">
      <c r="A2" s="464" t="s">
        <v>385</v>
      </c>
      <c r="B2" s="67"/>
      <c r="C2" s="79"/>
      <c r="D2" s="79"/>
      <c r="E2" s="80"/>
      <c r="F2" s="80"/>
      <c r="G2" s="1805" t="str">
        <f>'FORM-1'!D2</f>
        <v>Fecha: 05/08/2020</v>
      </c>
      <c r="H2" s="1805"/>
      <c r="I2" s="44"/>
      <c r="J2" s="44"/>
      <c r="K2" s="44"/>
      <c r="L2" s="44"/>
      <c r="M2" s="44"/>
    </row>
    <row r="3" spans="1:13" ht="12.75" customHeight="1" x14ac:dyDescent="0.2">
      <c r="A3" s="1797" t="s">
        <v>386</v>
      </c>
      <c r="B3" s="1785" t="s">
        <v>93</v>
      </c>
      <c r="C3" s="1787" t="s">
        <v>94</v>
      </c>
      <c r="D3" s="1788"/>
      <c r="E3" s="1791" t="s">
        <v>95</v>
      </c>
      <c r="F3" s="1792"/>
      <c r="G3" s="1785" t="s">
        <v>292</v>
      </c>
      <c r="H3" s="1793" t="s">
        <v>293</v>
      </c>
      <c r="I3" s="44"/>
      <c r="J3" s="44"/>
      <c r="K3" s="44"/>
      <c r="L3" s="44"/>
      <c r="M3" s="44"/>
    </row>
    <row r="4" spans="1:13" ht="13.5" thickBot="1" x14ac:dyDescent="0.25">
      <c r="A4" s="1798"/>
      <c r="B4" s="1799"/>
      <c r="C4" s="1802"/>
      <c r="D4" s="1803"/>
      <c r="E4" s="1035" t="s">
        <v>27</v>
      </c>
      <c r="F4" s="1036" t="s">
        <v>28</v>
      </c>
      <c r="G4" s="1799"/>
      <c r="H4" s="1806"/>
      <c r="I4" s="44"/>
      <c r="J4" s="44"/>
      <c r="K4" s="44"/>
      <c r="L4" s="44"/>
      <c r="M4" s="44"/>
    </row>
    <row r="5" spans="1:13" x14ac:dyDescent="0.2">
      <c r="A5" s="1037" t="s">
        <v>1391</v>
      </c>
      <c r="B5" s="1038" t="s">
        <v>1392</v>
      </c>
      <c r="C5" s="1770" t="s">
        <v>1393</v>
      </c>
      <c r="D5" s="1770"/>
      <c r="E5" s="1039">
        <v>9</v>
      </c>
      <c r="F5" s="1040"/>
      <c r="G5" s="1041">
        <v>44197</v>
      </c>
      <c r="H5" s="1042">
        <v>44561</v>
      </c>
      <c r="I5" s="45"/>
      <c r="J5" s="45"/>
      <c r="K5" s="44"/>
      <c r="L5" s="44"/>
      <c r="M5" s="44"/>
    </row>
    <row r="6" spans="1:13" x14ac:dyDescent="0.2">
      <c r="A6" s="1037" t="s">
        <v>1391</v>
      </c>
      <c r="B6" s="1038" t="s">
        <v>1394</v>
      </c>
      <c r="C6" s="1770" t="s">
        <v>1393</v>
      </c>
      <c r="D6" s="1770"/>
      <c r="E6" s="1039">
        <v>12</v>
      </c>
      <c r="F6" s="1043"/>
      <c r="G6" s="1041">
        <v>44197</v>
      </c>
      <c r="H6" s="1042">
        <v>44561</v>
      </c>
      <c r="I6" s="45"/>
      <c r="J6" s="45"/>
      <c r="K6" s="44"/>
      <c r="L6" s="44"/>
      <c r="M6" s="44"/>
    </row>
    <row r="7" spans="1:13" x14ac:dyDescent="0.2">
      <c r="A7" s="1037" t="s">
        <v>1391</v>
      </c>
      <c r="B7" s="1038" t="s">
        <v>1395</v>
      </c>
      <c r="C7" s="1770" t="s">
        <v>1396</v>
      </c>
      <c r="D7" s="1770"/>
      <c r="E7" s="1039">
        <v>16</v>
      </c>
      <c r="F7" s="1043"/>
      <c r="G7" s="1041">
        <v>44197</v>
      </c>
      <c r="H7" s="1042">
        <v>44561</v>
      </c>
      <c r="I7" s="45"/>
      <c r="J7" s="45"/>
      <c r="K7" s="44"/>
      <c r="L7" s="44"/>
      <c r="M7" s="44"/>
    </row>
    <row r="8" spans="1:13" x14ac:dyDescent="0.2">
      <c r="A8" s="1037" t="s">
        <v>1391</v>
      </c>
      <c r="B8" s="1044" t="s">
        <v>1397</v>
      </c>
      <c r="C8" s="1800" t="s">
        <v>1398</v>
      </c>
      <c r="D8" s="1801"/>
      <c r="E8" s="1045">
        <v>4</v>
      </c>
      <c r="F8" s="1043"/>
      <c r="G8" s="1041">
        <v>44197</v>
      </c>
      <c r="H8" s="1042">
        <v>44561</v>
      </c>
      <c r="I8" s="45"/>
      <c r="J8" s="45"/>
      <c r="K8" s="44"/>
      <c r="L8" s="44"/>
      <c r="M8" s="44"/>
    </row>
    <row r="9" spans="1:13" x14ac:dyDescent="0.2">
      <c r="A9" s="1037" t="s">
        <v>1391</v>
      </c>
      <c r="B9" s="1044" t="s">
        <v>1399</v>
      </c>
      <c r="C9" s="1800" t="s">
        <v>1398</v>
      </c>
      <c r="D9" s="1801"/>
      <c r="E9" s="1045">
        <v>64</v>
      </c>
      <c r="F9" s="1043"/>
      <c r="G9" s="1041">
        <v>44197</v>
      </c>
      <c r="H9" s="1042">
        <v>44561</v>
      </c>
      <c r="I9" s="45"/>
      <c r="J9" s="45"/>
      <c r="K9" s="44"/>
      <c r="L9" s="44"/>
      <c r="M9" s="44"/>
    </row>
    <row r="10" spans="1:13" x14ac:dyDescent="0.2">
      <c r="A10" s="1037" t="s">
        <v>1391</v>
      </c>
      <c r="B10" s="1044" t="s">
        <v>1400</v>
      </c>
      <c r="C10" s="1800" t="s">
        <v>1401</v>
      </c>
      <c r="D10" s="1801"/>
      <c r="E10" s="1045">
        <v>2</v>
      </c>
      <c r="F10" s="1043"/>
      <c r="G10" s="1041">
        <v>44197</v>
      </c>
      <c r="H10" s="1042">
        <v>44561</v>
      </c>
      <c r="I10" s="45"/>
      <c r="J10" s="45"/>
      <c r="K10" s="44"/>
      <c r="L10" s="44"/>
      <c r="M10" s="44"/>
    </row>
    <row r="11" spans="1:13" x14ac:dyDescent="0.2">
      <c r="A11" s="1037" t="s">
        <v>1391</v>
      </c>
      <c r="B11" s="1044" t="s">
        <v>1402</v>
      </c>
      <c r="C11" s="1795" t="s">
        <v>1398</v>
      </c>
      <c r="D11" s="1796"/>
      <c r="E11" s="1045">
        <v>2</v>
      </c>
      <c r="F11" s="1043"/>
      <c r="G11" s="1041">
        <v>44197</v>
      </c>
      <c r="H11" s="1042">
        <v>44561</v>
      </c>
      <c r="I11" s="45"/>
      <c r="J11" s="45"/>
      <c r="K11" s="44"/>
      <c r="L11" s="44"/>
      <c r="M11" s="44"/>
    </row>
    <row r="12" spans="1:13" ht="12.75" customHeight="1" x14ac:dyDescent="0.2">
      <c r="A12" s="1037" t="s">
        <v>1391</v>
      </c>
      <c r="B12" s="1044" t="s">
        <v>1403</v>
      </c>
      <c r="C12" s="1795" t="s">
        <v>1398</v>
      </c>
      <c r="D12" s="1796"/>
      <c r="E12" s="1045">
        <v>8</v>
      </c>
      <c r="F12" s="1043"/>
      <c r="G12" s="1041">
        <v>44197</v>
      </c>
      <c r="H12" s="1042">
        <v>44561</v>
      </c>
      <c r="I12" s="45"/>
      <c r="J12" s="45"/>
      <c r="K12" s="44"/>
      <c r="L12" s="44"/>
      <c r="M12" s="44"/>
    </row>
    <row r="13" spans="1:13" x14ac:dyDescent="0.2">
      <c r="A13" s="1037" t="s">
        <v>1391</v>
      </c>
      <c r="B13" s="1044" t="s">
        <v>1404</v>
      </c>
      <c r="C13" s="1795" t="s">
        <v>1405</v>
      </c>
      <c r="D13" s="1796"/>
      <c r="E13" s="1045">
        <v>8</v>
      </c>
      <c r="F13" s="1043"/>
      <c r="G13" s="1041">
        <v>44197</v>
      </c>
      <c r="H13" s="1042">
        <v>44561</v>
      </c>
      <c r="I13" s="45"/>
      <c r="J13" s="45"/>
      <c r="K13" s="44"/>
      <c r="L13" s="44"/>
      <c r="M13" s="44"/>
    </row>
    <row r="14" spans="1:13" x14ac:dyDescent="0.2">
      <c r="A14" s="1037" t="s">
        <v>1391</v>
      </c>
      <c r="B14" s="1044" t="s">
        <v>1406</v>
      </c>
      <c r="C14" s="1795" t="s">
        <v>1407</v>
      </c>
      <c r="D14" s="1796"/>
      <c r="E14" s="1045">
        <v>2</v>
      </c>
      <c r="F14" s="1043"/>
      <c r="G14" s="1041">
        <v>44197</v>
      </c>
      <c r="H14" s="1042">
        <v>44561</v>
      </c>
      <c r="I14" s="45"/>
      <c r="J14" s="45"/>
      <c r="K14" s="44"/>
      <c r="L14" s="44"/>
      <c r="M14" s="44"/>
    </row>
    <row r="15" spans="1:13" x14ac:dyDescent="0.2">
      <c r="A15" s="1037" t="s">
        <v>1391</v>
      </c>
      <c r="B15" s="1044" t="s">
        <v>1408</v>
      </c>
      <c r="C15" s="1795" t="s">
        <v>1409</v>
      </c>
      <c r="D15" s="1796"/>
      <c r="E15" s="1045">
        <v>2</v>
      </c>
      <c r="F15" s="1043"/>
      <c r="G15" s="1041">
        <v>44197</v>
      </c>
      <c r="H15" s="1042">
        <v>44561</v>
      </c>
      <c r="I15" s="45"/>
      <c r="J15" s="45"/>
      <c r="K15" s="44"/>
      <c r="L15" s="44"/>
      <c r="M15" s="44"/>
    </row>
    <row r="16" spans="1:13" x14ac:dyDescent="0.2">
      <c r="A16" s="1037" t="s">
        <v>1391</v>
      </c>
      <c r="B16" s="1044" t="s">
        <v>1410</v>
      </c>
      <c r="C16" s="1795" t="s">
        <v>1411</v>
      </c>
      <c r="D16" s="1796"/>
      <c r="E16" s="1045">
        <v>16</v>
      </c>
      <c r="F16" s="1043"/>
      <c r="G16" s="1041">
        <v>44197</v>
      </c>
      <c r="H16" s="1042">
        <v>44561</v>
      </c>
      <c r="I16" s="45"/>
      <c r="J16" s="45"/>
      <c r="K16" s="44"/>
      <c r="L16" s="44"/>
      <c r="M16" s="44"/>
    </row>
    <row r="17" spans="1:13" x14ac:dyDescent="0.2">
      <c r="A17" s="1037" t="s">
        <v>1391</v>
      </c>
      <c r="B17" s="1044" t="s">
        <v>1412</v>
      </c>
      <c r="C17" s="1795" t="s">
        <v>1409</v>
      </c>
      <c r="D17" s="1796"/>
      <c r="E17" s="1045">
        <v>4</v>
      </c>
      <c r="F17" s="1043"/>
      <c r="G17" s="1041">
        <v>44197</v>
      </c>
      <c r="H17" s="1042">
        <v>44561</v>
      </c>
      <c r="I17" s="45"/>
      <c r="J17" s="45"/>
      <c r="K17" s="44"/>
      <c r="L17" s="44"/>
      <c r="M17" s="44"/>
    </row>
    <row r="18" spans="1:13" x14ac:dyDescent="0.2">
      <c r="A18" s="1037" t="s">
        <v>1391</v>
      </c>
      <c r="B18" s="1044" t="s">
        <v>1413</v>
      </c>
      <c r="C18" s="1795" t="s">
        <v>1414</v>
      </c>
      <c r="D18" s="1796"/>
      <c r="E18" s="1045">
        <v>33</v>
      </c>
      <c r="F18" s="1043"/>
      <c r="G18" s="1041">
        <v>44197</v>
      </c>
      <c r="H18" s="1042">
        <v>44561</v>
      </c>
      <c r="I18" s="45"/>
      <c r="J18" s="45"/>
      <c r="K18" s="44"/>
      <c r="L18" s="44"/>
      <c r="M18" s="44"/>
    </row>
    <row r="19" spans="1:13" ht="12.75" customHeight="1" x14ac:dyDescent="0.2">
      <c r="A19" s="1037" t="s">
        <v>1391</v>
      </c>
      <c r="B19" s="1044" t="s">
        <v>1415</v>
      </c>
      <c r="C19" s="1795" t="s">
        <v>1416</v>
      </c>
      <c r="D19" s="1796"/>
      <c r="E19" s="1045">
        <v>26</v>
      </c>
      <c r="F19" s="1043"/>
      <c r="G19" s="1041">
        <v>44197</v>
      </c>
      <c r="H19" s="1042">
        <v>44561</v>
      </c>
      <c r="I19" s="45"/>
      <c r="J19" s="45"/>
      <c r="K19" s="44"/>
      <c r="L19" s="44"/>
      <c r="M19" s="44"/>
    </row>
    <row r="20" spans="1:13" x14ac:dyDescent="0.2">
      <c r="A20" s="1037" t="s">
        <v>1391</v>
      </c>
      <c r="B20" s="1044" t="s">
        <v>1417</v>
      </c>
      <c r="C20" s="1795" t="s">
        <v>1416</v>
      </c>
      <c r="D20" s="1796"/>
      <c r="E20" s="1045">
        <v>74</v>
      </c>
      <c r="F20" s="1043"/>
      <c r="G20" s="1041">
        <v>44197</v>
      </c>
      <c r="H20" s="1042">
        <v>44561</v>
      </c>
      <c r="I20" s="45"/>
      <c r="J20" s="45"/>
      <c r="K20" s="44"/>
      <c r="L20" s="44"/>
      <c r="M20" s="44"/>
    </row>
    <row r="21" spans="1:13" x14ac:dyDescent="0.2">
      <c r="A21" s="1037" t="s">
        <v>1391</v>
      </c>
      <c r="B21" s="1038" t="s">
        <v>1418</v>
      </c>
      <c r="C21" s="1804" t="s">
        <v>1416</v>
      </c>
      <c r="D21" s="1804"/>
      <c r="E21" s="1039">
        <v>12</v>
      </c>
      <c r="F21" s="1043"/>
      <c r="G21" s="1041">
        <v>44197</v>
      </c>
      <c r="H21" s="1042">
        <v>44561</v>
      </c>
      <c r="I21" s="45"/>
      <c r="J21" s="45"/>
      <c r="K21" s="44"/>
      <c r="L21" s="44"/>
      <c r="M21" s="44"/>
    </row>
    <row r="22" spans="1:13" x14ac:dyDescent="0.2">
      <c r="A22" s="1037" t="s">
        <v>1391</v>
      </c>
      <c r="B22" s="1038" t="s">
        <v>1419</v>
      </c>
      <c r="C22" s="1804" t="s">
        <v>1416</v>
      </c>
      <c r="D22" s="1804"/>
      <c r="E22" s="1039">
        <v>43</v>
      </c>
      <c r="F22" s="1043"/>
      <c r="G22" s="1041">
        <v>44197</v>
      </c>
      <c r="H22" s="1042">
        <v>44561</v>
      </c>
      <c r="I22" s="45"/>
      <c r="J22" s="45"/>
      <c r="K22" s="44"/>
      <c r="L22" s="44"/>
      <c r="M22" s="44"/>
    </row>
    <row r="23" spans="1:13" ht="13.5" thickBot="1" x14ac:dyDescent="0.25">
      <c r="A23" s="1046" t="s">
        <v>1420</v>
      </c>
      <c r="B23" s="1046"/>
      <c r="C23" s="1046"/>
      <c r="D23" s="1046"/>
      <c r="E23" s="1046">
        <v>337</v>
      </c>
      <c r="F23" s="1046"/>
      <c r="G23" s="1046"/>
      <c r="H23" s="1046"/>
      <c r="I23" s="45"/>
      <c r="J23" s="45"/>
      <c r="K23" s="44"/>
      <c r="L23" s="44"/>
      <c r="M23" s="44"/>
    </row>
    <row r="24" spans="1:13" ht="19.5" customHeight="1" x14ac:dyDescent="0.2">
      <c r="A24" s="1797" t="s">
        <v>386</v>
      </c>
      <c r="B24" s="1785" t="s">
        <v>288</v>
      </c>
      <c r="C24" s="1787" t="s">
        <v>94</v>
      </c>
      <c r="D24" s="1788"/>
      <c r="E24" s="1791" t="s">
        <v>95</v>
      </c>
      <c r="F24" s="1792"/>
      <c r="G24" s="1785" t="s">
        <v>292</v>
      </c>
      <c r="H24" s="1793" t="s">
        <v>293</v>
      </c>
      <c r="I24" s="45"/>
      <c r="J24" s="45"/>
      <c r="K24" s="44"/>
      <c r="L24" s="44"/>
      <c r="M24" s="44"/>
    </row>
    <row r="25" spans="1:13" x14ac:dyDescent="0.2">
      <c r="A25" s="1798"/>
      <c r="B25" s="1786"/>
      <c r="C25" s="1789"/>
      <c r="D25" s="1790"/>
      <c r="E25" s="1035" t="s">
        <v>27</v>
      </c>
      <c r="F25" s="1036" t="s">
        <v>28</v>
      </c>
      <c r="G25" s="1786"/>
      <c r="H25" s="1794"/>
      <c r="I25" s="45"/>
      <c r="J25" s="45"/>
      <c r="K25" s="44"/>
      <c r="L25" s="44"/>
      <c r="M25" s="44"/>
    </row>
    <row r="26" spans="1:13" ht="14.25" customHeight="1" x14ac:dyDescent="0.2">
      <c r="A26" s="1047" t="s">
        <v>1391</v>
      </c>
      <c r="B26" s="1038" t="s">
        <v>1421</v>
      </c>
      <c r="C26" s="1770" t="s">
        <v>1422</v>
      </c>
      <c r="D26" s="1770"/>
      <c r="E26" s="1039">
        <v>1</v>
      </c>
      <c r="F26" s="1043"/>
      <c r="G26" s="1041">
        <v>44197</v>
      </c>
      <c r="H26" s="1042">
        <v>44561</v>
      </c>
      <c r="I26" s="45"/>
      <c r="J26" s="45"/>
      <c r="K26" s="44"/>
      <c r="L26" s="44"/>
      <c r="M26" s="44"/>
    </row>
    <row r="27" spans="1:13" ht="14.25" customHeight="1" x14ac:dyDescent="0.2">
      <c r="A27" s="1047" t="s">
        <v>1391</v>
      </c>
      <c r="B27" s="1048" t="s">
        <v>1423</v>
      </c>
      <c r="C27" s="1770" t="s">
        <v>1422</v>
      </c>
      <c r="D27" s="1770"/>
      <c r="E27" s="1039">
        <v>1</v>
      </c>
      <c r="F27" s="1043"/>
      <c r="G27" s="1041">
        <v>44197</v>
      </c>
      <c r="H27" s="1042">
        <v>44561</v>
      </c>
      <c r="I27" s="45"/>
      <c r="J27" s="45"/>
      <c r="K27" s="44"/>
      <c r="L27" s="44"/>
      <c r="M27" s="44"/>
    </row>
    <row r="28" spans="1:13" ht="14.25" customHeight="1" x14ac:dyDescent="0.2">
      <c r="A28" s="1047" t="s">
        <v>1391</v>
      </c>
      <c r="B28" s="1049" t="s">
        <v>1424</v>
      </c>
      <c r="C28" s="1770" t="s">
        <v>1422</v>
      </c>
      <c r="D28" s="1770"/>
      <c r="E28" s="1039">
        <v>1</v>
      </c>
      <c r="F28" s="1043"/>
      <c r="G28" s="1041">
        <v>44197</v>
      </c>
      <c r="H28" s="1042">
        <v>44561</v>
      </c>
      <c r="I28" s="45"/>
      <c r="J28" s="45"/>
      <c r="K28" s="44"/>
      <c r="L28" s="44"/>
      <c r="M28" s="44"/>
    </row>
    <row r="29" spans="1:13" ht="14.25" customHeight="1" x14ac:dyDescent="0.2">
      <c r="A29" s="1047" t="s">
        <v>1391</v>
      </c>
      <c r="B29" s="1038" t="s">
        <v>1425</v>
      </c>
      <c r="C29" s="1770" t="s">
        <v>1426</v>
      </c>
      <c r="D29" s="1770"/>
      <c r="E29" s="1039">
        <v>1</v>
      </c>
      <c r="F29" s="1043"/>
      <c r="G29" s="1041">
        <v>44197</v>
      </c>
      <c r="H29" s="1042">
        <v>44561</v>
      </c>
      <c r="I29" s="45"/>
      <c r="J29" s="45"/>
      <c r="K29" s="44"/>
      <c r="L29" s="44"/>
      <c r="M29" s="44"/>
    </row>
    <row r="30" spans="1:13" ht="14.25" customHeight="1" x14ac:dyDescent="0.2">
      <c r="A30" s="1047" t="s">
        <v>1391</v>
      </c>
      <c r="B30" s="1038" t="s">
        <v>1427</v>
      </c>
      <c r="C30" s="1770" t="s">
        <v>1422</v>
      </c>
      <c r="D30" s="1770"/>
      <c r="E30" s="1039">
        <v>1</v>
      </c>
      <c r="F30" s="1043"/>
      <c r="G30" s="1041">
        <v>44197</v>
      </c>
      <c r="H30" s="1042">
        <v>44561</v>
      </c>
      <c r="I30" s="45"/>
      <c r="J30" s="45"/>
      <c r="K30" s="44"/>
      <c r="L30" s="44"/>
      <c r="M30" s="44"/>
    </row>
    <row r="31" spans="1:13" ht="14.25" customHeight="1" x14ac:dyDescent="0.2">
      <c r="A31" s="1047" t="s">
        <v>1391</v>
      </c>
      <c r="B31" s="1049" t="s">
        <v>1428</v>
      </c>
      <c r="C31" s="1770" t="s">
        <v>1422</v>
      </c>
      <c r="D31" s="1770"/>
      <c r="E31" s="1039">
        <v>1</v>
      </c>
      <c r="F31" s="1043"/>
      <c r="G31" s="1041">
        <v>44197</v>
      </c>
      <c r="H31" s="1042">
        <v>44561</v>
      </c>
      <c r="I31" s="45"/>
      <c r="J31" s="45"/>
      <c r="K31" s="44"/>
      <c r="L31" s="44"/>
      <c r="M31" s="44"/>
    </row>
    <row r="32" spans="1:13" ht="14.25" customHeight="1" x14ac:dyDescent="0.2">
      <c r="A32" s="1047" t="s">
        <v>1391</v>
      </c>
      <c r="B32" s="1049" t="s">
        <v>1429</v>
      </c>
      <c r="C32" s="1770" t="s">
        <v>1422</v>
      </c>
      <c r="D32" s="1770"/>
      <c r="E32" s="1039">
        <v>1</v>
      </c>
      <c r="F32" s="1043"/>
      <c r="G32" s="1041">
        <v>44197</v>
      </c>
      <c r="H32" s="1042">
        <v>44561</v>
      </c>
      <c r="I32" s="45"/>
      <c r="J32" s="45"/>
      <c r="K32" s="44"/>
      <c r="L32" s="44"/>
      <c r="M32" s="44"/>
    </row>
    <row r="33" spans="1:13" ht="14.25" customHeight="1" x14ac:dyDescent="0.2">
      <c r="A33" s="1047" t="s">
        <v>1391</v>
      </c>
      <c r="B33" s="1049" t="s">
        <v>1430</v>
      </c>
      <c r="C33" s="1770" t="s">
        <v>1422</v>
      </c>
      <c r="D33" s="1770"/>
      <c r="E33" s="1039">
        <v>1</v>
      </c>
      <c r="F33" s="1043"/>
      <c r="G33" s="1041">
        <v>44197</v>
      </c>
      <c r="H33" s="1042">
        <v>44561</v>
      </c>
      <c r="I33" s="45"/>
      <c r="J33" s="45"/>
      <c r="K33" s="44"/>
      <c r="L33" s="44"/>
      <c r="M33" s="44"/>
    </row>
    <row r="34" spans="1:13" ht="14.25" customHeight="1" thickBot="1" x14ac:dyDescent="0.25">
      <c r="A34" s="1081" t="s">
        <v>1391</v>
      </c>
      <c r="B34" s="1082" t="s">
        <v>1431</v>
      </c>
      <c r="C34" s="1771" t="s">
        <v>1335</v>
      </c>
      <c r="D34" s="1771"/>
      <c r="E34" s="1045">
        <v>1</v>
      </c>
      <c r="F34" s="1083"/>
      <c r="G34" s="1084">
        <v>44197</v>
      </c>
      <c r="H34" s="1085">
        <v>44561</v>
      </c>
      <c r="I34" s="45"/>
      <c r="J34" s="45"/>
      <c r="K34" s="44"/>
      <c r="L34" s="44"/>
      <c r="M34" s="44"/>
    </row>
    <row r="35" spans="1:13" ht="13.5" thickBot="1" x14ac:dyDescent="0.25">
      <c r="A35" s="1086" t="s">
        <v>1432</v>
      </c>
      <c r="B35" s="1087"/>
      <c r="C35" s="1088"/>
      <c r="D35" s="1088"/>
      <c r="E35" s="1089"/>
      <c r="F35" s="1090"/>
      <c r="G35" s="1091"/>
      <c r="H35" s="1092"/>
      <c r="I35" s="45"/>
      <c r="J35" s="45"/>
      <c r="K35" s="44"/>
      <c r="L35" s="44"/>
      <c r="M35" s="44"/>
    </row>
    <row r="36" spans="1:13" ht="18.75" thickBot="1" x14ac:dyDescent="0.25">
      <c r="A36" s="1772" t="s">
        <v>1433</v>
      </c>
      <c r="B36" s="1772"/>
      <c r="C36" s="1772"/>
      <c r="D36" s="1772"/>
      <c r="E36" s="1772"/>
      <c r="F36" s="1772"/>
      <c r="G36" s="1772"/>
      <c r="H36" s="1772"/>
      <c r="I36" s="45"/>
      <c r="J36" s="45"/>
      <c r="K36" s="44"/>
      <c r="L36" s="44"/>
      <c r="M36" s="44"/>
    </row>
    <row r="37" spans="1:13" x14ac:dyDescent="0.2">
      <c r="A37" s="1773" t="s">
        <v>386</v>
      </c>
      <c r="B37" s="1775" t="s">
        <v>355</v>
      </c>
      <c r="C37" s="1777" t="s">
        <v>94</v>
      </c>
      <c r="D37" s="1779" t="s">
        <v>1434</v>
      </c>
      <c r="E37" s="1780"/>
      <c r="F37" s="1781"/>
      <c r="G37" s="1777" t="s">
        <v>292</v>
      </c>
      <c r="H37" s="1783" t="s">
        <v>293</v>
      </c>
      <c r="I37" s="45"/>
      <c r="J37" s="45"/>
      <c r="K37" s="44"/>
      <c r="L37" s="44"/>
      <c r="M37" s="44"/>
    </row>
    <row r="38" spans="1:13" ht="26.25" thickBot="1" x14ac:dyDescent="0.25">
      <c r="A38" s="1774"/>
      <c r="B38" s="1776"/>
      <c r="C38" s="1778"/>
      <c r="D38" s="1050" t="s">
        <v>300</v>
      </c>
      <c r="E38" s="1051" t="s">
        <v>27</v>
      </c>
      <c r="F38" s="1050" t="s">
        <v>28</v>
      </c>
      <c r="G38" s="1782"/>
      <c r="H38" s="1784"/>
      <c r="I38" s="45"/>
      <c r="J38" s="45"/>
    </row>
    <row r="39" spans="1:13" x14ac:dyDescent="0.2">
      <c r="A39" s="1047" t="s">
        <v>1391</v>
      </c>
      <c r="B39" s="1048" t="s">
        <v>1435</v>
      </c>
      <c r="C39" s="1052" t="s">
        <v>1436</v>
      </c>
      <c r="D39" s="1052" t="s">
        <v>1437</v>
      </c>
      <c r="E39" s="1039"/>
      <c r="F39" s="1039">
        <v>1</v>
      </c>
      <c r="G39" s="1041">
        <v>44197</v>
      </c>
      <c r="H39" s="1042">
        <v>44561</v>
      </c>
      <c r="I39" s="45"/>
      <c r="J39" s="45"/>
    </row>
    <row r="40" spans="1:13" x14ac:dyDescent="0.2">
      <c r="A40" s="1047" t="s">
        <v>1391</v>
      </c>
      <c r="B40" s="1048" t="s">
        <v>1438</v>
      </c>
      <c r="C40" s="1052" t="s">
        <v>1436</v>
      </c>
      <c r="D40" s="1052" t="s">
        <v>1437</v>
      </c>
      <c r="E40" s="1039"/>
      <c r="F40" s="1039">
        <v>1</v>
      </c>
      <c r="G40" s="1041">
        <v>44197</v>
      </c>
      <c r="H40" s="1042">
        <v>44561</v>
      </c>
      <c r="I40" s="45"/>
      <c r="J40" s="45"/>
    </row>
    <row r="41" spans="1:13" x14ac:dyDescent="0.2">
      <c r="A41" s="1047" t="s">
        <v>1391</v>
      </c>
      <c r="B41" s="1048" t="s">
        <v>1439</v>
      </c>
      <c r="C41" s="1052" t="s">
        <v>1422</v>
      </c>
      <c r="D41" s="1052" t="s">
        <v>1437</v>
      </c>
      <c r="E41" s="1039"/>
      <c r="F41" s="1039">
        <v>1</v>
      </c>
      <c r="G41" s="1041">
        <v>44197</v>
      </c>
      <c r="H41" s="1042">
        <v>44561</v>
      </c>
      <c r="I41" s="45"/>
      <c r="J41" s="45"/>
    </row>
    <row r="42" spans="1:13" x14ac:dyDescent="0.2">
      <c r="A42" s="1047" t="s">
        <v>1391</v>
      </c>
      <c r="B42" s="1048" t="s">
        <v>1440</v>
      </c>
      <c r="C42" s="1052" t="s">
        <v>1422</v>
      </c>
      <c r="D42" s="1052" t="s">
        <v>1437</v>
      </c>
      <c r="E42" s="1039"/>
      <c r="F42" s="1039">
        <v>1</v>
      </c>
      <c r="G42" s="1041">
        <v>44197</v>
      </c>
      <c r="H42" s="1042">
        <v>44561</v>
      </c>
      <c r="I42" s="45"/>
      <c r="J42" s="45"/>
    </row>
    <row r="43" spans="1:13" x14ac:dyDescent="0.2">
      <c r="A43" s="1047" t="s">
        <v>1391</v>
      </c>
      <c r="B43" s="1048" t="s">
        <v>1441</v>
      </c>
      <c r="C43" s="1052" t="s">
        <v>1422</v>
      </c>
      <c r="D43" s="1052" t="s">
        <v>1437</v>
      </c>
      <c r="E43" s="1039"/>
      <c r="F43" s="1039">
        <v>1</v>
      </c>
      <c r="G43" s="1041">
        <v>44197</v>
      </c>
      <c r="H43" s="1042">
        <v>44561</v>
      </c>
      <c r="I43" s="45"/>
      <c r="J43" s="45"/>
    </row>
    <row r="44" spans="1:13" ht="18" x14ac:dyDescent="0.2">
      <c r="A44" s="1047" t="s">
        <v>1391</v>
      </c>
      <c r="B44" s="1048" t="s">
        <v>1442</v>
      </c>
      <c r="C44" s="1052" t="s">
        <v>1422</v>
      </c>
      <c r="D44" s="1052" t="s">
        <v>1437</v>
      </c>
      <c r="E44" s="1039"/>
      <c r="F44" s="1039">
        <v>1</v>
      </c>
      <c r="G44" s="1041">
        <v>44197</v>
      </c>
      <c r="H44" s="1042">
        <v>44561</v>
      </c>
      <c r="I44" s="45"/>
      <c r="J44" s="45"/>
    </row>
    <row r="45" spans="1:13" x14ac:dyDescent="0.2">
      <c r="A45" s="1047" t="s">
        <v>1391</v>
      </c>
      <c r="B45" s="1048" t="s">
        <v>1443</v>
      </c>
      <c r="C45" s="1052" t="s">
        <v>1444</v>
      </c>
      <c r="D45" s="1052" t="s">
        <v>1437</v>
      </c>
      <c r="E45" s="1039"/>
      <c r="F45" s="1039">
        <v>1</v>
      </c>
      <c r="G45" s="1041">
        <v>44197</v>
      </c>
      <c r="H45" s="1042">
        <v>44561</v>
      </c>
      <c r="I45" s="45"/>
      <c r="J45" s="45"/>
    </row>
    <row r="46" spans="1:13" x14ac:dyDescent="0.2">
      <c r="A46" s="1047" t="s">
        <v>1391</v>
      </c>
      <c r="B46" s="1048" t="s">
        <v>1445</v>
      </c>
      <c r="C46" s="1048" t="s">
        <v>1446</v>
      </c>
      <c r="D46" s="1052" t="s">
        <v>1437</v>
      </c>
      <c r="E46" s="1039"/>
      <c r="F46" s="1039">
        <v>1</v>
      </c>
      <c r="G46" s="1041">
        <v>44197</v>
      </c>
      <c r="H46" s="1042">
        <v>44561</v>
      </c>
      <c r="I46" s="45"/>
      <c r="J46" s="45"/>
    </row>
    <row r="47" spans="1:13" x14ac:dyDescent="0.2">
      <c r="A47" s="1047" t="s">
        <v>1391</v>
      </c>
      <c r="B47" s="1048" t="s">
        <v>1447</v>
      </c>
      <c r="C47" s="1052" t="s">
        <v>1422</v>
      </c>
      <c r="D47" s="1052" t="s">
        <v>1437</v>
      </c>
      <c r="E47" s="1039"/>
      <c r="F47" s="1039">
        <v>1</v>
      </c>
      <c r="G47" s="1041">
        <v>44197</v>
      </c>
      <c r="H47" s="1042">
        <v>44561</v>
      </c>
      <c r="I47" s="45"/>
      <c r="J47" s="45"/>
    </row>
    <row r="48" spans="1:13" x14ac:dyDescent="0.2">
      <c r="A48" s="1047" t="s">
        <v>1391</v>
      </c>
      <c r="B48" s="1048" t="s">
        <v>1448</v>
      </c>
      <c r="C48" s="1052" t="s">
        <v>1422</v>
      </c>
      <c r="D48" s="1052" t="s">
        <v>1437</v>
      </c>
      <c r="E48" s="1039"/>
      <c r="F48" s="1039">
        <v>1</v>
      </c>
      <c r="G48" s="1041">
        <v>44197</v>
      </c>
      <c r="H48" s="1042">
        <v>44561</v>
      </c>
      <c r="I48" s="45"/>
      <c r="J48" s="45"/>
    </row>
    <row r="49" spans="1:10" x14ac:dyDescent="0.2">
      <c r="A49" s="1047" t="s">
        <v>1391</v>
      </c>
      <c r="B49" s="1048" t="s">
        <v>1449</v>
      </c>
      <c r="C49" s="1052" t="s">
        <v>1422</v>
      </c>
      <c r="D49" s="1052" t="s">
        <v>1437</v>
      </c>
      <c r="E49" s="1039"/>
      <c r="F49" s="1039">
        <v>1</v>
      </c>
      <c r="G49" s="1041">
        <v>44197</v>
      </c>
      <c r="H49" s="1042">
        <v>44561</v>
      </c>
      <c r="I49" s="45"/>
      <c r="J49" s="45"/>
    </row>
    <row r="50" spans="1:10" x14ac:dyDescent="0.2">
      <c r="A50" s="1047" t="s">
        <v>1391</v>
      </c>
      <c r="B50" s="1053" t="s">
        <v>1450</v>
      </c>
      <c r="C50" s="1052" t="s">
        <v>1451</v>
      </c>
      <c r="D50" s="1052" t="s">
        <v>1437</v>
      </c>
      <c r="E50" s="1039"/>
      <c r="F50" s="1039">
        <v>1</v>
      </c>
      <c r="G50" s="1041">
        <v>44197</v>
      </c>
      <c r="H50" s="1042">
        <v>44561</v>
      </c>
      <c r="I50" s="45"/>
      <c r="J50" s="45"/>
    </row>
    <row r="51" spans="1:10" x14ac:dyDescent="0.2">
      <c r="A51" s="1047" t="s">
        <v>1391</v>
      </c>
      <c r="B51" s="1048" t="s">
        <v>1452</v>
      </c>
      <c r="C51" s="1048" t="s">
        <v>1453</v>
      </c>
      <c r="D51" s="1052" t="s">
        <v>1437</v>
      </c>
      <c r="E51" s="1039"/>
      <c r="F51" s="1039">
        <v>1</v>
      </c>
      <c r="G51" s="1041">
        <v>44197</v>
      </c>
      <c r="H51" s="1042">
        <v>44561</v>
      </c>
      <c r="I51" s="45"/>
      <c r="J51" s="45"/>
    </row>
    <row r="52" spans="1:10" x14ac:dyDescent="0.2">
      <c r="A52" s="1047" t="s">
        <v>1391</v>
      </c>
      <c r="B52" s="1048" t="s">
        <v>1454</v>
      </c>
      <c r="C52" s="1048" t="s">
        <v>1455</v>
      </c>
      <c r="D52" s="1052" t="s">
        <v>1437</v>
      </c>
      <c r="E52" s="1039"/>
      <c r="F52" s="1039">
        <v>1</v>
      </c>
      <c r="G52" s="1041">
        <v>44197</v>
      </c>
      <c r="H52" s="1042">
        <v>44561</v>
      </c>
      <c r="I52" s="45"/>
      <c r="J52" s="45"/>
    </row>
    <row r="53" spans="1:10" x14ac:dyDescent="0.2">
      <c r="A53" s="1047" t="s">
        <v>1391</v>
      </c>
      <c r="B53" s="1048" t="s">
        <v>1456</v>
      </c>
      <c r="C53" s="1048" t="s">
        <v>1455</v>
      </c>
      <c r="D53" s="1052" t="s">
        <v>1437</v>
      </c>
      <c r="E53" s="1039"/>
      <c r="F53" s="1039">
        <v>1</v>
      </c>
      <c r="G53" s="1041">
        <v>44197</v>
      </c>
      <c r="H53" s="1042">
        <v>44561</v>
      </c>
      <c r="I53" s="45"/>
      <c r="J53" s="45"/>
    </row>
    <row r="54" spans="1:10" x14ac:dyDescent="0.2">
      <c r="A54" s="1047" t="s">
        <v>1391</v>
      </c>
      <c r="B54" s="1048" t="s">
        <v>1457</v>
      </c>
      <c r="C54" s="1048" t="s">
        <v>1455</v>
      </c>
      <c r="D54" s="1052" t="s">
        <v>1437</v>
      </c>
      <c r="E54" s="1039"/>
      <c r="F54" s="1039">
        <v>1</v>
      </c>
      <c r="G54" s="1041">
        <v>44197</v>
      </c>
      <c r="H54" s="1042">
        <v>44561</v>
      </c>
      <c r="I54" s="45"/>
      <c r="J54" s="45"/>
    </row>
    <row r="55" spans="1:10" x14ac:dyDescent="0.2">
      <c r="A55" s="1047" t="s">
        <v>1391</v>
      </c>
      <c r="B55" s="1048" t="s">
        <v>1458</v>
      </c>
      <c r="C55" s="1048" t="s">
        <v>1455</v>
      </c>
      <c r="D55" s="1052" t="s">
        <v>1437</v>
      </c>
      <c r="E55" s="1039"/>
      <c r="F55" s="1039">
        <v>1</v>
      </c>
      <c r="G55" s="1041">
        <v>44197</v>
      </c>
      <c r="H55" s="1042">
        <v>44561</v>
      </c>
      <c r="I55" s="45"/>
      <c r="J55" s="45"/>
    </row>
    <row r="56" spans="1:10" x14ac:dyDescent="0.2">
      <c r="A56" s="1047" t="s">
        <v>1391</v>
      </c>
      <c r="B56" s="1048" t="s">
        <v>1459</v>
      </c>
      <c r="C56" s="1048" t="s">
        <v>1455</v>
      </c>
      <c r="D56" s="1052" t="s">
        <v>1437</v>
      </c>
      <c r="E56" s="1039"/>
      <c r="F56" s="1039">
        <v>1</v>
      </c>
      <c r="G56" s="1041">
        <v>44197</v>
      </c>
      <c r="H56" s="1042">
        <v>44561</v>
      </c>
      <c r="I56" s="45"/>
      <c r="J56" s="45"/>
    </row>
    <row r="57" spans="1:10" x14ac:dyDescent="0.2">
      <c r="A57" s="1047" t="s">
        <v>1391</v>
      </c>
      <c r="B57" s="1048" t="s">
        <v>1460</v>
      </c>
      <c r="C57" s="1048" t="s">
        <v>1461</v>
      </c>
      <c r="D57" s="1052" t="s">
        <v>1437</v>
      </c>
      <c r="E57" s="1039"/>
      <c r="F57" s="1039">
        <v>1</v>
      </c>
      <c r="G57" s="1041">
        <v>44197</v>
      </c>
      <c r="H57" s="1042">
        <v>44561</v>
      </c>
      <c r="I57" s="45"/>
      <c r="J57" s="45"/>
    </row>
    <row r="58" spans="1:10" x14ac:dyDescent="0.2">
      <c r="A58" s="1047" t="s">
        <v>1391</v>
      </c>
      <c r="B58" s="1048" t="s">
        <v>1462</v>
      </c>
      <c r="C58" s="1048" t="s">
        <v>1463</v>
      </c>
      <c r="D58" s="1052" t="s">
        <v>1437</v>
      </c>
      <c r="E58" s="1039"/>
      <c r="F58" s="1039">
        <v>1</v>
      </c>
      <c r="G58" s="1041">
        <v>44197</v>
      </c>
      <c r="H58" s="1042">
        <v>44561</v>
      </c>
      <c r="I58" s="45"/>
      <c r="J58" s="45"/>
    </row>
    <row r="59" spans="1:10" x14ac:dyDescent="0.2">
      <c r="A59" s="1047" t="s">
        <v>1391</v>
      </c>
      <c r="B59" s="1048" t="s">
        <v>1464</v>
      </c>
      <c r="C59" s="1048" t="s">
        <v>1463</v>
      </c>
      <c r="D59" s="1052" t="s">
        <v>1437</v>
      </c>
      <c r="E59" s="1039"/>
      <c r="F59" s="1039">
        <v>1</v>
      </c>
      <c r="G59" s="1041">
        <v>44197</v>
      </c>
      <c r="H59" s="1042">
        <v>44561</v>
      </c>
      <c r="I59" s="45"/>
      <c r="J59" s="45"/>
    </row>
    <row r="60" spans="1:10" x14ac:dyDescent="0.2">
      <c r="A60" s="1047" t="s">
        <v>1391</v>
      </c>
      <c r="B60" s="1048" t="s">
        <v>1465</v>
      </c>
      <c r="C60" s="1048" t="s">
        <v>1463</v>
      </c>
      <c r="D60" s="1052" t="s">
        <v>1437</v>
      </c>
      <c r="E60" s="1039"/>
      <c r="F60" s="1039">
        <v>1</v>
      </c>
      <c r="G60" s="1041">
        <v>44197</v>
      </c>
      <c r="H60" s="1042">
        <v>44561</v>
      </c>
      <c r="I60" s="45"/>
      <c r="J60" s="45"/>
    </row>
    <row r="61" spans="1:10" x14ac:dyDescent="0.2">
      <c r="A61" s="1047" t="s">
        <v>1391</v>
      </c>
      <c r="B61" s="1048" t="s">
        <v>1466</v>
      </c>
      <c r="C61" s="1048" t="s">
        <v>1455</v>
      </c>
      <c r="D61" s="1052" t="s">
        <v>1437</v>
      </c>
      <c r="E61" s="1039"/>
      <c r="F61" s="1039">
        <v>1</v>
      </c>
      <c r="G61" s="1041">
        <v>44197</v>
      </c>
      <c r="H61" s="1042">
        <v>44561</v>
      </c>
      <c r="I61" s="45"/>
      <c r="J61" s="45"/>
    </row>
    <row r="62" spans="1:10" x14ac:dyDescent="0.2">
      <c r="A62" s="1047" t="s">
        <v>1391</v>
      </c>
      <c r="B62" s="1048" t="s">
        <v>1467</v>
      </c>
      <c r="C62" s="1048" t="s">
        <v>1455</v>
      </c>
      <c r="D62" s="1052" t="s">
        <v>1437</v>
      </c>
      <c r="E62" s="1039"/>
      <c r="F62" s="1039">
        <v>1</v>
      </c>
      <c r="G62" s="1041">
        <v>44197</v>
      </c>
      <c r="H62" s="1042">
        <v>44561</v>
      </c>
      <c r="I62" s="45"/>
      <c r="J62" s="45"/>
    </row>
    <row r="63" spans="1:10" x14ac:dyDescent="0.2">
      <c r="A63" s="1047" t="s">
        <v>1391</v>
      </c>
      <c r="B63" s="1048" t="s">
        <v>1468</v>
      </c>
      <c r="C63" s="1048" t="s">
        <v>1455</v>
      </c>
      <c r="D63" s="1052" t="s">
        <v>1437</v>
      </c>
      <c r="E63" s="1039"/>
      <c r="F63" s="1039">
        <v>1</v>
      </c>
      <c r="G63" s="1041">
        <v>44197</v>
      </c>
      <c r="H63" s="1042">
        <v>44561</v>
      </c>
      <c r="I63" s="45"/>
      <c r="J63" s="45"/>
    </row>
    <row r="64" spans="1:10" x14ac:dyDescent="0.2">
      <c r="A64" s="1047" t="s">
        <v>1391</v>
      </c>
      <c r="B64" s="1048" t="s">
        <v>1469</v>
      </c>
      <c r="C64" s="1048" t="s">
        <v>1455</v>
      </c>
      <c r="D64" s="1052" t="s">
        <v>1437</v>
      </c>
      <c r="E64" s="1039"/>
      <c r="F64" s="1039">
        <v>1</v>
      </c>
      <c r="G64" s="1041">
        <v>44197</v>
      </c>
      <c r="H64" s="1042">
        <v>44561</v>
      </c>
      <c r="I64" s="45"/>
      <c r="J64" s="45"/>
    </row>
    <row r="65" spans="1:10" x14ac:dyDescent="0.2">
      <c r="A65" s="1047" t="s">
        <v>1391</v>
      </c>
      <c r="B65" s="1048" t="s">
        <v>1470</v>
      </c>
      <c r="C65" s="1054" t="s">
        <v>1455</v>
      </c>
      <c r="D65" s="1052" t="s">
        <v>1437</v>
      </c>
      <c r="E65" s="1039"/>
      <c r="F65" s="1039">
        <v>1</v>
      </c>
      <c r="G65" s="1041">
        <v>44197</v>
      </c>
      <c r="H65" s="1042">
        <v>44561</v>
      </c>
      <c r="I65" s="45"/>
      <c r="J65" s="45"/>
    </row>
    <row r="66" spans="1:10" x14ac:dyDescent="0.2">
      <c r="A66" s="1047" t="s">
        <v>1391</v>
      </c>
      <c r="B66" s="1048" t="s">
        <v>1471</v>
      </c>
      <c r="C66" s="1054" t="s">
        <v>1461</v>
      </c>
      <c r="D66" s="1052" t="s">
        <v>1437</v>
      </c>
      <c r="E66" s="1039"/>
      <c r="F66" s="1039">
        <v>1</v>
      </c>
      <c r="G66" s="1041">
        <v>44197</v>
      </c>
      <c r="H66" s="1042">
        <v>44561</v>
      </c>
      <c r="I66" s="45"/>
      <c r="J66" s="45"/>
    </row>
    <row r="67" spans="1:10" x14ac:dyDescent="0.2">
      <c r="A67" s="1047" t="s">
        <v>1391</v>
      </c>
      <c r="B67" s="1048" t="s">
        <v>1472</v>
      </c>
      <c r="C67" s="1054" t="s">
        <v>1455</v>
      </c>
      <c r="D67" s="1052" t="s">
        <v>1437</v>
      </c>
      <c r="E67" s="1039"/>
      <c r="F67" s="1039">
        <v>1</v>
      </c>
      <c r="G67" s="1041">
        <v>44197</v>
      </c>
      <c r="H67" s="1042">
        <v>44561</v>
      </c>
      <c r="I67" s="45"/>
      <c r="J67" s="45"/>
    </row>
    <row r="68" spans="1:10" x14ac:dyDescent="0.2">
      <c r="A68" s="1047" t="s">
        <v>1391</v>
      </c>
      <c r="B68" s="1048" t="s">
        <v>1473</v>
      </c>
      <c r="C68" s="1054" t="s">
        <v>1455</v>
      </c>
      <c r="D68" s="1052" t="s">
        <v>1437</v>
      </c>
      <c r="E68" s="1039"/>
      <c r="F68" s="1039">
        <v>1</v>
      </c>
      <c r="G68" s="1041">
        <v>44197</v>
      </c>
      <c r="H68" s="1042">
        <v>44561</v>
      </c>
      <c r="I68" s="45"/>
      <c r="J68" s="45"/>
    </row>
    <row r="69" spans="1:10" x14ac:dyDescent="0.2">
      <c r="A69" s="1047" t="s">
        <v>1391</v>
      </c>
      <c r="B69" s="1048" t="s">
        <v>1474</v>
      </c>
      <c r="C69" s="1054" t="s">
        <v>1455</v>
      </c>
      <c r="D69" s="1052" t="s">
        <v>1437</v>
      </c>
      <c r="E69" s="1039"/>
      <c r="F69" s="1039">
        <v>1</v>
      </c>
      <c r="G69" s="1041">
        <v>44197</v>
      </c>
      <c r="H69" s="1042">
        <v>44561</v>
      </c>
      <c r="I69" s="45"/>
      <c r="J69" s="45"/>
    </row>
    <row r="70" spans="1:10" x14ac:dyDescent="0.2">
      <c r="A70" s="1047" t="s">
        <v>1391</v>
      </c>
      <c r="B70" s="1048" t="s">
        <v>1475</v>
      </c>
      <c r="C70" s="1054" t="s">
        <v>1455</v>
      </c>
      <c r="D70" s="1052" t="s">
        <v>1437</v>
      </c>
      <c r="E70" s="1039"/>
      <c r="F70" s="1039">
        <v>1</v>
      </c>
      <c r="G70" s="1041">
        <v>44197</v>
      </c>
      <c r="H70" s="1042">
        <v>44561</v>
      </c>
      <c r="I70" s="45"/>
      <c r="J70" s="45"/>
    </row>
    <row r="71" spans="1:10" x14ac:dyDescent="0.2">
      <c r="A71" s="1047" t="s">
        <v>1391</v>
      </c>
      <c r="B71" s="1048" t="s">
        <v>1476</v>
      </c>
      <c r="C71" s="1054" t="s">
        <v>1477</v>
      </c>
      <c r="D71" s="1052" t="s">
        <v>1437</v>
      </c>
      <c r="E71" s="1039"/>
      <c r="F71" s="1039">
        <v>1</v>
      </c>
      <c r="G71" s="1041">
        <v>44197</v>
      </c>
      <c r="H71" s="1042">
        <v>44561</v>
      </c>
      <c r="I71" s="45"/>
      <c r="J71" s="45"/>
    </row>
    <row r="72" spans="1:10" ht="15.75" x14ac:dyDescent="0.2">
      <c r="A72" s="1767" t="s">
        <v>1478</v>
      </c>
      <c r="B72" s="1768"/>
      <c r="C72" s="1768"/>
      <c r="D72" s="1768"/>
      <c r="E72" s="1768"/>
      <c r="F72" s="1768"/>
      <c r="G72" s="1768"/>
      <c r="H72" s="1769"/>
      <c r="I72" s="45"/>
      <c r="J72" s="45"/>
    </row>
    <row r="73" spans="1:10" x14ac:dyDescent="0.2">
      <c r="A73" s="1047" t="s">
        <v>1391</v>
      </c>
      <c r="B73" s="1038" t="s">
        <v>1479</v>
      </c>
      <c r="C73" s="1048" t="s">
        <v>1335</v>
      </c>
      <c r="D73" s="1052" t="s">
        <v>1437</v>
      </c>
      <c r="E73" s="1039"/>
      <c r="F73" s="1039">
        <v>1</v>
      </c>
      <c r="G73" s="1041">
        <v>44197</v>
      </c>
      <c r="H73" s="1042">
        <v>44561</v>
      </c>
      <c r="I73" s="45"/>
      <c r="J73" s="45"/>
    </row>
    <row r="74" spans="1:10" x14ac:dyDescent="0.2">
      <c r="A74" s="1047" t="s">
        <v>1391</v>
      </c>
      <c r="B74" s="1038" t="s">
        <v>1480</v>
      </c>
      <c r="C74" s="1052" t="s">
        <v>1481</v>
      </c>
      <c r="D74" s="1052" t="s">
        <v>1437</v>
      </c>
      <c r="E74" s="1039"/>
      <c r="F74" s="1039">
        <v>1</v>
      </c>
      <c r="G74" s="1041">
        <v>44197</v>
      </c>
      <c r="H74" s="1042">
        <v>44561</v>
      </c>
      <c r="I74" s="45"/>
      <c r="J74" s="45"/>
    </row>
    <row r="75" spans="1:10" x14ac:dyDescent="0.2">
      <c r="A75" s="1047" t="s">
        <v>1391</v>
      </c>
      <c r="B75" s="1038" t="s">
        <v>1482</v>
      </c>
      <c r="C75" s="1052" t="s">
        <v>1481</v>
      </c>
      <c r="D75" s="1052" t="s">
        <v>1437</v>
      </c>
      <c r="E75" s="1039"/>
      <c r="F75" s="1039">
        <v>1</v>
      </c>
      <c r="G75" s="1041">
        <v>44197</v>
      </c>
      <c r="H75" s="1042">
        <v>44561</v>
      </c>
      <c r="I75" s="45"/>
      <c r="J75" s="45"/>
    </row>
    <row r="76" spans="1:10" ht="15.75" x14ac:dyDescent="0.2">
      <c r="A76" s="1767" t="s">
        <v>1205</v>
      </c>
      <c r="B76" s="1768"/>
      <c r="C76" s="1768"/>
      <c r="D76" s="1768"/>
      <c r="E76" s="1768"/>
      <c r="F76" s="1768"/>
      <c r="G76" s="1768"/>
      <c r="H76" s="1769"/>
      <c r="I76" s="45"/>
      <c r="J76" s="45"/>
    </row>
    <row r="77" spans="1:10" x14ac:dyDescent="0.2">
      <c r="A77" s="1047" t="s">
        <v>1391</v>
      </c>
      <c r="B77" s="1055" t="s">
        <v>1484</v>
      </c>
      <c r="C77" s="1055" t="s">
        <v>1335</v>
      </c>
      <c r="D77" s="1052" t="s">
        <v>1437</v>
      </c>
      <c r="E77" s="1039"/>
      <c r="F77" s="1056">
        <v>1</v>
      </c>
      <c r="G77" s="1041">
        <v>44197</v>
      </c>
      <c r="H77" s="1042">
        <v>44561</v>
      </c>
      <c r="I77" s="45"/>
      <c r="J77" s="45"/>
    </row>
    <row r="78" spans="1:10" x14ac:dyDescent="0.2">
      <c r="A78" s="1047" t="s">
        <v>1391</v>
      </c>
      <c r="B78" s="1057" t="s">
        <v>1485</v>
      </c>
      <c r="C78" s="1055" t="s">
        <v>1486</v>
      </c>
      <c r="D78" s="1052" t="s">
        <v>1437</v>
      </c>
      <c r="E78" s="1039"/>
      <c r="F78" s="1056">
        <v>1</v>
      </c>
      <c r="G78" s="1041">
        <v>44197</v>
      </c>
      <c r="H78" s="1042">
        <v>44561</v>
      </c>
      <c r="I78" s="45"/>
      <c r="J78" s="45"/>
    </row>
    <row r="79" spans="1:10" x14ac:dyDescent="0.2">
      <c r="A79" s="1047" t="s">
        <v>1391</v>
      </c>
      <c r="B79" s="1057" t="s">
        <v>1487</v>
      </c>
      <c r="C79" s="1055" t="s">
        <v>1488</v>
      </c>
      <c r="D79" s="1052" t="s">
        <v>1437</v>
      </c>
      <c r="E79" s="1039"/>
      <c r="F79" s="1056">
        <v>1</v>
      </c>
      <c r="G79" s="1041">
        <v>44197</v>
      </c>
      <c r="H79" s="1042">
        <v>44561</v>
      </c>
      <c r="I79" s="45"/>
      <c r="J79" s="45"/>
    </row>
    <row r="80" spans="1:10" x14ac:dyDescent="0.2">
      <c r="A80" s="1047" t="s">
        <v>1391</v>
      </c>
      <c r="B80" s="1057" t="s">
        <v>1489</v>
      </c>
      <c r="C80" s="1055" t="s">
        <v>1490</v>
      </c>
      <c r="D80" s="1052" t="s">
        <v>1437</v>
      </c>
      <c r="E80" s="1039"/>
      <c r="F80" s="1056">
        <v>1</v>
      </c>
      <c r="G80" s="1041">
        <v>44197</v>
      </c>
      <c r="H80" s="1042">
        <v>44561</v>
      </c>
      <c r="I80" s="45"/>
      <c r="J80" s="45"/>
    </row>
    <row r="81" spans="1:10" x14ac:dyDescent="0.2">
      <c r="A81" s="1047" t="s">
        <v>1391</v>
      </c>
      <c r="B81" s="1055" t="s">
        <v>1491</v>
      </c>
      <c r="C81" s="1055" t="s">
        <v>1492</v>
      </c>
      <c r="D81" s="1052" t="s">
        <v>1437</v>
      </c>
      <c r="E81" s="1039"/>
      <c r="F81" s="1056">
        <v>1</v>
      </c>
      <c r="G81" s="1041">
        <v>44197</v>
      </c>
      <c r="H81" s="1042">
        <v>44561</v>
      </c>
      <c r="I81" s="45"/>
      <c r="J81" s="45"/>
    </row>
    <row r="82" spans="1:10" ht="15.75" x14ac:dyDescent="0.2">
      <c r="A82" s="1767" t="s">
        <v>1493</v>
      </c>
      <c r="B82" s="1768"/>
      <c r="C82" s="1768"/>
      <c r="D82" s="1768"/>
      <c r="E82" s="1768"/>
      <c r="F82" s="1768"/>
      <c r="G82" s="1768"/>
      <c r="H82" s="1769"/>
      <c r="I82" s="45"/>
      <c r="J82" s="45"/>
    </row>
    <row r="83" spans="1:10" x14ac:dyDescent="0.2">
      <c r="A83" s="1047" t="s">
        <v>1391</v>
      </c>
      <c r="B83" s="1038" t="s">
        <v>1251</v>
      </c>
      <c r="C83" s="1038" t="s">
        <v>1261</v>
      </c>
      <c r="D83" s="1038" t="s">
        <v>1437</v>
      </c>
      <c r="E83" s="1058"/>
      <c r="F83" s="1058">
        <v>1</v>
      </c>
      <c r="G83" s="1041">
        <v>44197</v>
      </c>
      <c r="H83" s="1042">
        <v>44561</v>
      </c>
      <c r="I83" s="45"/>
      <c r="J83" s="45"/>
    </row>
    <row r="84" spans="1:10" x14ac:dyDescent="0.2">
      <c r="A84" s="1047" t="s">
        <v>1391</v>
      </c>
      <c r="B84" s="1055" t="s">
        <v>1494</v>
      </c>
      <c r="C84" s="1055" t="s">
        <v>1495</v>
      </c>
      <c r="D84" s="1052" t="s">
        <v>1437</v>
      </c>
      <c r="E84" s="1039"/>
      <c r="F84" s="1056">
        <v>1</v>
      </c>
      <c r="G84" s="1041">
        <v>44197</v>
      </c>
      <c r="H84" s="1042">
        <v>44561</v>
      </c>
      <c r="I84" s="45"/>
      <c r="J84" s="45"/>
    </row>
    <row r="85" spans="1:10" x14ac:dyDescent="0.2">
      <c r="A85" s="1047" t="s">
        <v>1391</v>
      </c>
      <c r="B85" s="1055" t="s">
        <v>1496</v>
      </c>
      <c r="C85" s="1055" t="s">
        <v>1495</v>
      </c>
      <c r="D85" s="1052" t="s">
        <v>1437</v>
      </c>
      <c r="E85" s="1039"/>
      <c r="F85" s="1056">
        <v>1</v>
      </c>
      <c r="G85" s="1041">
        <v>44197</v>
      </c>
      <c r="H85" s="1042">
        <v>44561</v>
      </c>
      <c r="I85" s="45"/>
      <c r="J85" s="45"/>
    </row>
    <row r="86" spans="1:10" x14ac:dyDescent="0.2">
      <c r="A86" s="1047" t="s">
        <v>1391</v>
      </c>
      <c r="B86" s="1055" t="s">
        <v>1497</v>
      </c>
      <c r="C86" s="1055" t="s">
        <v>1498</v>
      </c>
      <c r="D86" s="1052" t="s">
        <v>1437</v>
      </c>
      <c r="E86" s="1039"/>
      <c r="F86" s="1056">
        <v>1</v>
      </c>
      <c r="G86" s="1041">
        <v>44197</v>
      </c>
      <c r="H86" s="1042">
        <v>44561</v>
      </c>
      <c r="I86" s="45"/>
      <c r="J86" s="45"/>
    </row>
    <row r="87" spans="1:10" x14ac:dyDescent="0.2">
      <c r="A87" s="1047" t="s">
        <v>1391</v>
      </c>
      <c r="B87" s="1055" t="s">
        <v>1499</v>
      </c>
      <c r="C87" s="1055" t="s">
        <v>1498</v>
      </c>
      <c r="D87" s="1052" t="s">
        <v>1437</v>
      </c>
      <c r="E87" s="1039"/>
      <c r="F87" s="1056">
        <v>1</v>
      </c>
      <c r="G87" s="1041">
        <v>44197</v>
      </c>
      <c r="H87" s="1042">
        <v>44561</v>
      </c>
      <c r="I87" s="45"/>
      <c r="J87" s="45"/>
    </row>
    <row r="88" spans="1:10" x14ac:dyDescent="0.2">
      <c r="A88" s="1047" t="s">
        <v>1391</v>
      </c>
      <c r="B88" s="1055" t="s">
        <v>1500</v>
      </c>
      <c r="C88" s="1055" t="s">
        <v>1501</v>
      </c>
      <c r="D88" s="1052" t="s">
        <v>1437</v>
      </c>
      <c r="E88" s="1039"/>
      <c r="F88" s="1056">
        <v>1</v>
      </c>
      <c r="G88" s="1041">
        <v>44197</v>
      </c>
      <c r="H88" s="1042">
        <v>44561</v>
      </c>
      <c r="I88" s="45"/>
      <c r="J88" s="45"/>
    </row>
    <row r="89" spans="1:10" x14ac:dyDescent="0.2">
      <c r="A89" s="1047" t="s">
        <v>1391</v>
      </c>
      <c r="B89" s="1055" t="s">
        <v>1502</v>
      </c>
      <c r="C89" s="1055" t="s">
        <v>1501</v>
      </c>
      <c r="D89" s="1052" t="s">
        <v>1437</v>
      </c>
      <c r="E89" s="1039"/>
      <c r="F89" s="1056">
        <v>1</v>
      </c>
      <c r="G89" s="1041">
        <v>44197</v>
      </c>
      <c r="H89" s="1042">
        <v>44561</v>
      </c>
      <c r="I89" s="45"/>
      <c r="J89" s="45"/>
    </row>
    <row r="90" spans="1:10" x14ac:dyDescent="0.2">
      <c r="A90" s="1047" t="s">
        <v>1391</v>
      </c>
      <c r="B90" s="1055" t="s">
        <v>1503</v>
      </c>
      <c r="C90" s="1055" t="s">
        <v>1503</v>
      </c>
      <c r="D90" s="1052" t="s">
        <v>1437</v>
      </c>
      <c r="E90" s="1039"/>
      <c r="F90" s="1056">
        <v>1</v>
      </c>
      <c r="G90" s="1041">
        <v>44197</v>
      </c>
      <c r="H90" s="1042">
        <v>44561</v>
      </c>
      <c r="I90" s="45"/>
      <c r="J90" s="45"/>
    </row>
    <row r="91" spans="1:10" x14ac:dyDescent="0.2">
      <c r="A91" s="1047" t="s">
        <v>1391</v>
      </c>
      <c r="B91" s="1055" t="s">
        <v>1504</v>
      </c>
      <c r="C91" s="1055" t="s">
        <v>1504</v>
      </c>
      <c r="D91" s="1052" t="s">
        <v>1437</v>
      </c>
      <c r="E91" s="1039"/>
      <c r="F91" s="1056">
        <v>1</v>
      </c>
      <c r="G91" s="1041">
        <v>44197</v>
      </c>
      <c r="H91" s="1042">
        <v>44561</v>
      </c>
      <c r="I91" s="45"/>
      <c r="J91" s="45"/>
    </row>
    <row r="92" spans="1:10" ht="15.75" x14ac:dyDescent="0.2">
      <c r="A92" s="1767" t="s">
        <v>1505</v>
      </c>
      <c r="B92" s="1768"/>
      <c r="C92" s="1768"/>
      <c r="D92" s="1768"/>
      <c r="E92" s="1768"/>
      <c r="F92" s="1768"/>
      <c r="G92" s="1768"/>
      <c r="H92" s="1769"/>
      <c r="I92" s="45"/>
      <c r="J92" s="45"/>
    </row>
    <row r="93" spans="1:10" x14ac:dyDescent="0.2">
      <c r="A93" s="1059"/>
      <c r="B93" s="1060" t="s">
        <v>1506</v>
      </c>
      <c r="C93" s="1061" t="s">
        <v>1507</v>
      </c>
      <c r="D93" s="1062" t="s">
        <v>1437</v>
      </c>
      <c r="E93" s="1063"/>
      <c r="F93" s="1056">
        <v>1</v>
      </c>
      <c r="G93" s="1041">
        <v>44197</v>
      </c>
      <c r="H93" s="1042">
        <v>44561</v>
      </c>
      <c r="I93" s="45"/>
      <c r="J93" s="45"/>
    </row>
    <row r="94" spans="1:10" x14ac:dyDescent="0.2">
      <c r="A94" s="1059"/>
      <c r="B94" s="1060" t="s">
        <v>1508</v>
      </c>
      <c r="C94" s="1061" t="s">
        <v>1509</v>
      </c>
      <c r="D94" s="1062" t="s">
        <v>1437</v>
      </c>
      <c r="E94" s="1063"/>
      <c r="F94" s="1056">
        <v>1</v>
      </c>
      <c r="G94" s="1041">
        <v>44197</v>
      </c>
      <c r="H94" s="1042">
        <v>44561</v>
      </c>
      <c r="I94" s="45"/>
      <c r="J94" s="45"/>
    </row>
    <row r="95" spans="1:10" x14ac:dyDescent="0.2">
      <c r="A95" s="1059"/>
      <c r="B95" s="1060" t="s">
        <v>1510</v>
      </c>
      <c r="C95" s="1061" t="s">
        <v>1507</v>
      </c>
      <c r="D95" s="1062" t="s">
        <v>1437</v>
      </c>
      <c r="E95" s="1063"/>
      <c r="F95" s="1056">
        <v>1</v>
      </c>
      <c r="G95" s="1041">
        <v>44197</v>
      </c>
      <c r="H95" s="1042">
        <v>44561</v>
      </c>
      <c r="I95" s="45"/>
      <c r="J95" s="45"/>
    </row>
    <row r="96" spans="1:10" x14ac:dyDescent="0.2">
      <c r="A96" s="1059"/>
      <c r="B96" s="1060" t="s">
        <v>1301</v>
      </c>
      <c r="C96" s="1061" t="s">
        <v>1511</v>
      </c>
      <c r="D96" s="1062" t="s">
        <v>1437</v>
      </c>
      <c r="E96" s="1063"/>
      <c r="F96" s="1056">
        <v>1</v>
      </c>
      <c r="G96" s="1041">
        <v>44197</v>
      </c>
      <c r="H96" s="1042">
        <v>44561</v>
      </c>
      <c r="I96" s="45"/>
      <c r="J96" s="45"/>
    </row>
    <row r="97" spans="1:10" ht="18" x14ac:dyDescent="0.2">
      <c r="A97" s="1059"/>
      <c r="B97" s="1060" t="s">
        <v>1311</v>
      </c>
      <c r="C97" s="1061" t="s">
        <v>1512</v>
      </c>
      <c r="D97" s="1062" t="s">
        <v>1437</v>
      </c>
      <c r="E97" s="1063"/>
      <c r="F97" s="1056">
        <v>1</v>
      </c>
      <c r="G97" s="1041">
        <v>44197</v>
      </c>
      <c r="H97" s="1042">
        <v>44561</v>
      </c>
      <c r="I97" s="45"/>
      <c r="J97" s="45"/>
    </row>
    <row r="98" spans="1:10" x14ac:dyDescent="0.2">
      <c r="A98" s="1059"/>
      <c r="B98" s="1060" t="s">
        <v>1304</v>
      </c>
      <c r="C98" s="1061" t="s">
        <v>1513</v>
      </c>
      <c r="D98" s="1062" t="s">
        <v>1437</v>
      </c>
      <c r="E98" s="1063"/>
      <c r="F98" s="1056">
        <v>1</v>
      </c>
      <c r="G98" s="1041">
        <v>44197</v>
      </c>
      <c r="H98" s="1042">
        <v>44561</v>
      </c>
      <c r="I98" s="45"/>
      <c r="J98" s="45"/>
    </row>
    <row r="99" spans="1:10" x14ac:dyDescent="0.2">
      <c r="A99" s="1059"/>
      <c r="B99" s="1060" t="s">
        <v>1307</v>
      </c>
      <c r="C99" s="1061" t="s">
        <v>1513</v>
      </c>
      <c r="D99" s="1062" t="s">
        <v>1437</v>
      </c>
      <c r="E99" s="1063"/>
      <c r="F99" s="1056">
        <v>1</v>
      </c>
      <c r="G99" s="1041">
        <v>44197</v>
      </c>
      <c r="H99" s="1042">
        <v>44561</v>
      </c>
      <c r="I99" s="45"/>
      <c r="J99" s="45"/>
    </row>
    <row r="100" spans="1:10" x14ac:dyDescent="0.2">
      <c r="A100" s="1059"/>
      <c r="B100" s="1060" t="s">
        <v>1308</v>
      </c>
      <c r="C100" s="1061" t="s">
        <v>1513</v>
      </c>
      <c r="D100" s="1062" t="s">
        <v>1437</v>
      </c>
      <c r="E100" s="1063"/>
      <c r="F100" s="1056">
        <v>1</v>
      </c>
      <c r="G100" s="1041">
        <v>44197</v>
      </c>
      <c r="H100" s="1042">
        <v>44561</v>
      </c>
      <c r="I100" s="45"/>
      <c r="J100" s="45"/>
    </row>
    <row r="101" spans="1:10" x14ac:dyDescent="0.2">
      <c r="A101" s="1059"/>
      <c r="B101" s="1060" t="s">
        <v>1309</v>
      </c>
      <c r="C101" s="1061" t="s">
        <v>1513</v>
      </c>
      <c r="D101" s="1062" t="s">
        <v>1437</v>
      </c>
      <c r="E101" s="1063"/>
      <c r="F101" s="1056">
        <v>1</v>
      </c>
      <c r="G101" s="1041">
        <v>44197</v>
      </c>
      <c r="H101" s="1042">
        <v>44561</v>
      </c>
      <c r="I101" s="45"/>
      <c r="J101" s="45"/>
    </row>
    <row r="102" spans="1:10" x14ac:dyDescent="0.2">
      <c r="A102" s="1059"/>
      <c r="B102" s="1060" t="s">
        <v>1514</v>
      </c>
      <c r="C102" s="1061" t="s">
        <v>1513</v>
      </c>
      <c r="D102" s="1062" t="s">
        <v>1437</v>
      </c>
      <c r="E102" s="1063"/>
      <c r="F102" s="1056">
        <v>1</v>
      </c>
      <c r="G102" s="1041">
        <v>44197</v>
      </c>
      <c r="H102" s="1042">
        <v>44561</v>
      </c>
      <c r="I102" s="45"/>
      <c r="J102" s="45"/>
    </row>
    <row r="103" spans="1:10" x14ac:dyDescent="0.2">
      <c r="A103" s="1059"/>
      <c r="B103" s="1060" t="s">
        <v>1515</v>
      </c>
      <c r="C103" s="1061" t="s">
        <v>1513</v>
      </c>
      <c r="D103" s="1062" t="s">
        <v>1437</v>
      </c>
      <c r="E103" s="1063"/>
      <c r="F103" s="1056">
        <v>1</v>
      </c>
      <c r="G103" s="1041">
        <v>44197</v>
      </c>
      <c r="H103" s="1042">
        <v>44561</v>
      </c>
      <c r="I103" s="45"/>
      <c r="J103" s="45"/>
    </row>
    <row r="104" spans="1:10" ht="15.75" x14ac:dyDescent="0.2">
      <c r="A104" s="1767" t="s">
        <v>1516</v>
      </c>
      <c r="B104" s="1768"/>
      <c r="C104" s="1768"/>
      <c r="D104" s="1768"/>
      <c r="E104" s="1768"/>
      <c r="F104" s="1768"/>
      <c r="G104" s="1768"/>
      <c r="H104" s="1769"/>
      <c r="I104" s="45"/>
      <c r="J104" s="45"/>
    </row>
    <row r="105" spans="1:10" ht="33.75" x14ac:dyDescent="0.2">
      <c r="A105" s="1059"/>
      <c r="B105" s="1064" t="s">
        <v>1483</v>
      </c>
      <c r="C105" s="1065" t="s">
        <v>1517</v>
      </c>
      <c r="D105" s="1066" t="s">
        <v>1437</v>
      </c>
      <c r="E105" s="1039"/>
      <c r="F105" s="1067">
        <v>1</v>
      </c>
      <c r="G105" s="1041">
        <v>44197</v>
      </c>
      <c r="H105" s="1042">
        <v>44561</v>
      </c>
      <c r="I105" s="45"/>
      <c r="J105" s="45"/>
    </row>
    <row r="106" spans="1:10" x14ac:dyDescent="0.2">
      <c r="A106" s="1059"/>
      <c r="B106" s="1068" t="s">
        <v>1518</v>
      </c>
      <c r="C106" s="1069" t="s">
        <v>1519</v>
      </c>
      <c r="D106" s="1066" t="s">
        <v>1437</v>
      </c>
      <c r="E106" s="1039"/>
      <c r="F106" s="1070">
        <v>1</v>
      </c>
      <c r="G106" s="1041">
        <v>44197</v>
      </c>
      <c r="H106" s="1042">
        <v>44561</v>
      </c>
      <c r="I106" s="45"/>
      <c r="J106" s="45"/>
    </row>
    <row r="107" spans="1:10" x14ac:dyDescent="0.2">
      <c r="A107" s="1059"/>
      <c r="B107" s="1068" t="s">
        <v>1520</v>
      </c>
      <c r="C107" s="1069" t="s">
        <v>1314</v>
      </c>
      <c r="D107" s="1066" t="s">
        <v>1437</v>
      </c>
      <c r="E107" s="1039"/>
      <c r="F107" s="1070">
        <v>2</v>
      </c>
      <c r="G107" s="1041">
        <v>44197</v>
      </c>
      <c r="H107" s="1042">
        <v>44561</v>
      </c>
      <c r="I107" s="45"/>
      <c r="J107" s="45"/>
    </row>
    <row r="108" spans="1:10" x14ac:dyDescent="0.2">
      <c r="A108" s="1059"/>
      <c r="B108" s="1068" t="s">
        <v>1521</v>
      </c>
      <c r="C108" s="1071" t="s">
        <v>1522</v>
      </c>
      <c r="D108" s="1066" t="s">
        <v>1437</v>
      </c>
      <c r="E108" s="1039"/>
      <c r="F108" s="1067">
        <v>1</v>
      </c>
      <c r="G108" s="1041">
        <v>44197</v>
      </c>
      <c r="H108" s="1042">
        <v>44561</v>
      </c>
      <c r="I108" s="45"/>
      <c r="J108" s="45"/>
    </row>
    <row r="109" spans="1:10" ht="15.75" x14ac:dyDescent="0.2">
      <c r="A109" s="1767" t="s">
        <v>1523</v>
      </c>
      <c r="B109" s="1768"/>
      <c r="C109" s="1768"/>
      <c r="D109" s="1768"/>
      <c r="E109" s="1768"/>
      <c r="F109" s="1768"/>
      <c r="G109" s="1768"/>
      <c r="H109" s="1769"/>
      <c r="I109" s="45"/>
      <c r="J109" s="45"/>
    </row>
    <row r="110" spans="1:10" x14ac:dyDescent="0.2">
      <c r="A110" s="1059"/>
      <c r="B110" s="1068" t="s">
        <v>1524</v>
      </c>
      <c r="C110" s="1068" t="s">
        <v>1524</v>
      </c>
      <c r="D110" s="1066" t="s">
        <v>1437</v>
      </c>
      <c r="E110" s="1039"/>
      <c r="F110" s="1067">
        <v>1</v>
      </c>
      <c r="G110" s="1041">
        <v>44197</v>
      </c>
      <c r="H110" s="1042">
        <v>44561</v>
      </c>
      <c r="I110" s="45"/>
      <c r="J110" s="45"/>
    </row>
    <row r="111" spans="1:10" x14ac:dyDescent="0.2">
      <c r="A111" s="1059"/>
      <c r="B111" s="1068" t="s">
        <v>1258</v>
      </c>
      <c r="C111" s="1068" t="s">
        <v>1258</v>
      </c>
      <c r="D111" s="1066" t="s">
        <v>1437</v>
      </c>
      <c r="E111" s="1039"/>
      <c r="F111" s="1067">
        <v>1</v>
      </c>
      <c r="G111" s="1041">
        <v>44197</v>
      </c>
      <c r="H111" s="1042">
        <v>44561</v>
      </c>
      <c r="I111" s="45"/>
      <c r="J111" s="45"/>
    </row>
    <row r="112" spans="1:10" x14ac:dyDescent="0.2">
      <c r="A112" s="1059"/>
      <c r="B112" s="1068" t="s">
        <v>1259</v>
      </c>
      <c r="C112" s="1068" t="s">
        <v>1259</v>
      </c>
      <c r="D112" s="1066" t="s">
        <v>1437</v>
      </c>
      <c r="E112" s="1039"/>
      <c r="F112" s="1067">
        <v>1</v>
      </c>
      <c r="G112" s="1041">
        <v>44197</v>
      </c>
      <c r="H112" s="1042">
        <v>44561</v>
      </c>
      <c r="I112" s="45"/>
      <c r="J112" s="45"/>
    </row>
    <row r="113" spans="1:10" ht="15.75" x14ac:dyDescent="0.2">
      <c r="A113" s="1767" t="s">
        <v>1210</v>
      </c>
      <c r="B113" s="1768"/>
      <c r="C113" s="1768"/>
      <c r="D113" s="1768"/>
      <c r="E113" s="1768"/>
      <c r="F113" s="1768"/>
      <c r="G113" s="1768"/>
      <c r="H113" s="1769"/>
      <c r="I113" s="45"/>
      <c r="J113" s="45"/>
    </row>
    <row r="114" spans="1:10" ht="33.75" x14ac:dyDescent="0.2">
      <c r="A114" s="1059"/>
      <c r="B114" s="1064" t="s">
        <v>1483</v>
      </c>
      <c r="C114" s="1065" t="s">
        <v>1517</v>
      </c>
      <c r="D114" s="1066" t="s">
        <v>1437</v>
      </c>
      <c r="E114" s="1039"/>
      <c r="F114" s="1067">
        <v>1</v>
      </c>
      <c r="G114" s="1041">
        <v>44197</v>
      </c>
      <c r="H114" s="1042">
        <v>44561</v>
      </c>
      <c r="I114" s="45"/>
      <c r="J114" s="45"/>
    </row>
    <row r="115" spans="1:10" x14ac:dyDescent="0.2">
      <c r="A115" s="1059"/>
      <c r="B115" s="1068" t="s">
        <v>1518</v>
      </c>
      <c r="C115" s="1069" t="s">
        <v>1519</v>
      </c>
      <c r="D115" s="1066" t="s">
        <v>1437</v>
      </c>
      <c r="E115" s="1039"/>
      <c r="F115" s="1070">
        <v>1</v>
      </c>
      <c r="G115" s="1041">
        <v>44197</v>
      </c>
      <c r="H115" s="1042">
        <v>44561</v>
      </c>
      <c r="I115" s="45"/>
      <c r="J115" s="45"/>
    </row>
    <row r="116" spans="1:10" x14ac:dyDescent="0.2">
      <c r="A116" s="1059"/>
      <c r="B116" s="1068" t="s">
        <v>1520</v>
      </c>
      <c r="C116" s="1069" t="s">
        <v>1314</v>
      </c>
      <c r="D116" s="1066" t="s">
        <v>1437</v>
      </c>
      <c r="E116" s="1039"/>
      <c r="F116" s="1070">
        <v>1</v>
      </c>
      <c r="G116" s="1041">
        <v>44197</v>
      </c>
      <c r="H116" s="1042">
        <v>44561</v>
      </c>
      <c r="I116" s="45"/>
      <c r="J116" s="45"/>
    </row>
    <row r="117" spans="1:10" ht="15.75" x14ac:dyDescent="0.2">
      <c r="A117" s="1767" t="s">
        <v>1212</v>
      </c>
      <c r="B117" s="1768"/>
      <c r="C117" s="1768"/>
      <c r="D117" s="1768"/>
      <c r="E117" s="1768"/>
      <c r="F117" s="1768"/>
      <c r="G117" s="1768"/>
      <c r="H117" s="1769"/>
      <c r="I117" s="45"/>
      <c r="J117" s="45"/>
    </row>
    <row r="118" spans="1:10" x14ac:dyDescent="0.2">
      <c r="A118" s="1059"/>
      <c r="B118" s="1060" t="s">
        <v>1525</v>
      </c>
      <c r="C118" s="1072" t="s">
        <v>1507</v>
      </c>
      <c r="D118" s="1062" t="s">
        <v>1437</v>
      </c>
      <c r="E118" s="1063"/>
      <c r="F118" s="1056">
        <v>1</v>
      </c>
      <c r="G118" s="1041">
        <v>44197</v>
      </c>
      <c r="H118" s="1042">
        <v>44561</v>
      </c>
      <c r="I118" s="45"/>
      <c r="J118" s="45"/>
    </row>
    <row r="119" spans="1:10" x14ac:dyDescent="0.2">
      <c r="A119" s="1059"/>
      <c r="B119" s="1060" t="s">
        <v>1526</v>
      </c>
      <c r="C119" s="1072" t="s">
        <v>1507</v>
      </c>
      <c r="D119" s="1062" t="s">
        <v>1437</v>
      </c>
      <c r="E119" s="1063"/>
      <c r="F119" s="1056">
        <v>1</v>
      </c>
      <c r="G119" s="1041">
        <v>44197</v>
      </c>
      <c r="H119" s="1042">
        <v>44561</v>
      </c>
      <c r="I119" s="45"/>
      <c r="J119" s="45"/>
    </row>
    <row r="120" spans="1:10" x14ac:dyDescent="0.2">
      <c r="A120" s="1059"/>
      <c r="B120" s="1060" t="s">
        <v>1527</v>
      </c>
      <c r="C120" s="1072" t="s">
        <v>1511</v>
      </c>
      <c r="D120" s="1062" t="s">
        <v>1437</v>
      </c>
      <c r="E120" s="1063"/>
      <c r="F120" s="1056">
        <v>1</v>
      </c>
      <c r="G120" s="1041">
        <v>44197</v>
      </c>
      <c r="H120" s="1042">
        <v>44561</v>
      </c>
      <c r="I120" s="45"/>
      <c r="J120" s="45"/>
    </row>
    <row r="121" spans="1:10" x14ac:dyDescent="0.2">
      <c r="A121" s="1059"/>
      <c r="B121" s="1060" t="s">
        <v>1301</v>
      </c>
      <c r="C121" s="1072" t="s">
        <v>1511</v>
      </c>
      <c r="D121" s="1062" t="s">
        <v>1437</v>
      </c>
      <c r="E121" s="1063"/>
      <c r="F121" s="1056">
        <v>1</v>
      </c>
      <c r="G121" s="1041">
        <v>44197</v>
      </c>
      <c r="H121" s="1042">
        <v>44561</v>
      </c>
      <c r="I121" s="45"/>
      <c r="J121" s="45"/>
    </row>
    <row r="122" spans="1:10" x14ac:dyDescent="0.2">
      <c r="A122" s="1059"/>
      <c r="B122" s="1060" t="s">
        <v>1528</v>
      </c>
      <c r="C122" s="1072" t="s">
        <v>1528</v>
      </c>
      <c r="D122" s="1062" t="s">
        <v>1437</v>
      </c>
      <c r="E122" s="1063"/>
      <c r="F122" s="1056">
        <v>1</v>
      </c>
      <c r="G122" s="1041">
        <v>44197</v>
      </c>
      <c r="H122" s="1042">
        <v>44561</v>
      </c>
      <c r="I122" s="45"/>
      <c r="J122" s="45"/>
    </row>
    <row r="123" spans="1:10" x14ac:dyDescent="0.2">
      <c r="A123" s="1059"/>
      <c r="B123" s="1060" t="s">
        <v>1529</v>
      </c>
      <c r="C123" s="1072" t="s">
        <v>1529</v>
      </c>
      <c r="D123" s="1062" t="s">
        <v>1437</v>
      </c>
      <c r="E123" s="1063"/>
      <c r="F123" s="1056">
        <v>1</v>
      </c>
      <c r="G123" s="1041">
        <v>44197</v>
      </c>
      <c r="H123" s="1042">
        <v>44561</v>
      </c>
      <c r="I123" s="45"/>
      <c r="J123" s="45"/>
    </row>
    <row r="124" spans="1:10" x14ac:dyDescent="0.2">
      <c r="A124" s="1059"/>
      <c r="B124" s="1060" t="s">
        <v>1530</v>
      </c>
      <c r="C124" s="1072" t="s">
        <v>1531</v>
      </c>
      <c r="D124" s="1062" t="s">
        <v>1437</v>
      </c>
      <c r="E124" s="1063"/>
      <c r="F124" s="1056">
        <v>1</v>
      </c>
      <c r="G124" s="1041">
        <v>44197</v>
      </c>
      <c r="H124" s="1042">
        <v>44561</v>
      </c>
      <c r="I124" s="45"/>
      <c r="J124" s="45"/>
    </row>
    <row r="125" spans="1:10" x14ac:dyDescent="0.2">
      <c r="A125" s="1059"/>
      <c r="B125" s="1060" t="s">
        <v>1532</v>
      </c>
      <c r="C125" s="1072" t="s">
        <v>1513</v>
      </c>
      <c r="D125" s="1062" t="s">
        <v>1437</v>
      </c>
      <c r="E125" s="1063"/>
      <c r="F125" s="1056">
        <v>1</v>
      </c>
      <c r="G125" s="1041">
        <v>44197</v>
      </c>
      <c r="H125" s="1042">
        <v>44561</v>
      </c>
      <c r="I125" s="45"/>
      <c r="J125" s="45"/>
    </row>
    <row r="126" spans="1:10" x14ac:dyDescent="0.2">
      <c r="A126" s="1059"/>
      <c r="B126" s="1060" t="s">
        <v>1533</v>
      </c>
      <c r="C126" s="1072" t="s">
        <v>1513</v>
      </c>
      <c r="D126" s="1062" t="s">
        <v>1437</v>
      </c>
      <c r="E126" s="1063"/>
      <c r="F126" s="1056">
        <v>1</v>
      </c>
      <c r="G126" s="1041">
        <v>44197</v>
      </c>
      <c r="H126" s="1042">
        <v>44561</v>
      </c>
      <c r="I126" s="45"/>
      <c r="J126" s="45"/>
    </row>
    <row r="127" spans="1:10" x14ac:dyDescent="0.2">
      <c r="A127" s="1059"/>
      <c r="B127" s="1060" t="s">
        <v>1534</v>
      </c>
      <c r="C127" s="1072" t="s">
        <v>1535</v>
      </c>
      <c r="D127" s="1062" t="s">
        <v>1437</v>
      </c>
      <c r="E127" s="1063"/>
      <c r="F127" s="1056">
        <v>1</v>
      </c>
      <c r="G127" s="1041">
        <v>44197</v>
      </c>
      <c r="H127" s="1042">
        <v>44561</v>
      </c>
      <c r="I127" s="45"/>
      <c r="J127" s="45"/>
    </row>
    <row r="128" spans="1:10" x14ac:dyDescent="0.2">
      <c r="A128" s="1059"/>
      <c r="B128" s="1060" t="s">
        <v>1536</v>
      </c>
      <c r="C128" s="1072" t="s">
        <v>1513</v>
      </c>
      <c r="D128" s="1062" t="s">
        <v>1437</v>
      </c>
      <c r="E128" s="1063"/>
      <c r="F128" s="1056">
        <v>1</v>
      </c>
      <c r="G128" s="1041">
        <v>44197</v>
      </c>
      <c r="H128" s="1042">
        <v>44561</v>
      </c>
      <c r="I128" s="45"/>
      <c r="J128" s="45"/>
    </row>
    <row r="129" spans="1:10" x14ac:dyDescent="0.2">
      <c r="A129" s="1059"/>
      <c r="B129" s="1073" t="s">
        <v>1537</v>
      </c>
      <c r="C129" s="1074" t="s">
        <v>1537</v>
      </c>
      <c r="D129" s="1062" t="s">
        <v>1437</v>
      </c>
      <c r="E129" s="1063"/>
      <c r="F129" s="1056">
        <v>1</v>
      </c>
      <c r="G129" s="1041">
        <v>44197</v>
      </c>
      <c r="H129" s="1042">
        <v>44561</v>
      </c>
      <c r="I129" s="45"/>
      <c r="J129" s="45"/>
    </row>
    <row r="130" spans="1:10" ht="15.75" x14ac:dyDescent="0.2">
      <c r="A130" s="1767" t="s">
        <v>1538</v>
      </c>
      <c r="B130" s="1768"/>
      <c r="C130" s="1768"/>
      <c r="D130" s="1768"/>
      <c r="E130" s="1768"/>
      <c r="F130" s="1768"/>
      <c r="G130" s="1768"/>
      <c r="H130" s="1769"/>
      <c r="I130" s="45"/>
      <c r="J130" s="45"/>
    </row>
    <row r="131" spans="1:10" ht="18" x14ac:dyDescent="0.2">
      <c r="A131" s="1047" t="s">
        <v>1391</v>
      </c>
      <c r="B131" s="1055" t="s">
        <v>1539</v>
      </c>
      <c r="C131" s="1055" t="s">
        <v>1540</v>
      </c>
      <c r="D131" s="1052" t="s">
        <v>1437</v>
      </c>
      <c r="E131" s="1039"/>
      <c r="F131" s="1056">
        <v>1</v>
      </c>
      <c r="G131" s="1041">
        <v>44197</v>
      </c>
      <c r="H131" s="1042">
        <v>44561</v>
      </c>
      <c r="I131" s="45"/>
      <c r="J131" s="45"/>
    </row>
    <row r="132" spans="1:10" x14ac:dyDescent="0.2">
      <c r="A132" s="1047" t="s">
        <v>1391</v>
      </c>
      <c r="B132" s="1055" t="s">
        <v>1541</v>
      </c>
      <c r="C132" s="1055" t="s">
        <v>1314</v>
      </c>
      <c r="D132" s="1052" t="s">
        <v>1437</v>
      </c>
      <c r="E132" s="1039"/>
      <c r="F132" s="1056">
        <v>1</v>
      </c>
      <c r="G132" s="1041">
        <v>44197</v>
      </c>
      <c r="H132" s="1042">
        <v>44561</v>
      </c>
      <c r="I132" s="45"/>
      <c r="J132" s="45"/>
    </row>
    <row r="133" spans="1:10" ht="13.5" thickBot="1" x14ac:dyDescent="0.25">
      <c r="A133" s="1762"/>
      <c r="B133" s="1763"/>
      <c r="C133" s="1763"/>
      <c r="D133" s="1763"/>
      <c r="E133" s="1763"/>
      <c r="F133" s="1763"/>
      <c r="G133" s="1763"/>
      <c r="H133" s="1763"/>
      <c r="I133" s="45"/>
      <c r="J133" s="45"/>
    </row>
    <row r="134" spans="1:10" ht="13.5" thickBot="1" x14ac:dyDescent="0.25">
      <c r="A134" s="1764" t="s">
        <v>1542</v>
      </c>
      <c r="B134" s="1765"/>
      <c r="C134" s="1766" t="s">
        <v>1543</v>
      </c>
      <c r="D134" s="1766"/>
      <c r="E134" s="1764" t="s">
        <v>12</v>
      </c>
      <c r="F134" s="1765"/>
      <c r="G134" s="1764" t="s">
        <v>13</v>
      </c>
      <c r="H134" s="1765"/>
      <c r="I134" s="45"/>
      <c r="J134" s="45"/>
    </row>
    <row r="135" spans="1:10" ht="21.75" customHeight="1" x14ac:dyDescent="0.2">
      <c r="A135" s="1075" t="s">
        <v>29</v>
      </c>
      <c r="B135" s="1076"/>
      <c r="C135" s="1750" t="s">
        <v>1178</v>
      </c>
      <c r="D135" s="1751"/>
      <c r="E135" s="1752" t="s">
        <v>1179</v>
      </c>
      <c r="F135" s="1753"/>
      <c r="G135" s="1754"/>
      <c r="H135" s="1755"/>
      <c r="I135" s="45"/>
      <c r="J135" s="45"/>
    </row>
    <row r="136" spans="1:10" ht="21.75" customHeight="1" x14ac:dyDescent="0.2">
      <c r="A136" s="1077" t="s">
        <v>1544</v>
      </c>
      <c r="B136" s="1078"/>
      <c r="C136" s="1756" t="s">
        <v>1545</v>
      </c>
      <c r="D136" s="1757"/>
      <c r="E136" s="1758" t="s">
        <v>1181</v>
      </c>
      <c r="F136" s="1759"/>
      <c r="G136" s="1760"/>
      <c r="H136" s="1761"/>
      <c r="I136" s="45"/>
      <c r="J136" s="45"/>
    </row>
    <row r="137" spans="1:10" ht="21.75" customHeight="1" thickBot="1" x14ac:dyDescent="0.25">
      <c r="A137" s="1079" t="s">
        <v>289</v>
      </c>
      <c r="B137" s="1080"/>
      <c r="C137" s="1744" t="s">
        <v>1109</v>
      </c>
      <c r="D137" s="1745"/>
      <c r="E137" s="1746" t="s">
        <v>1546</v>
      </c>
      <c r="F137" s="1747"/>
      <c r="G137" s="1748"/>
      <c r="H137" s="1749"/>
      <c r="I137" s="45"/>
      <c r="J137" s="45"/>
    </row>
    <row r="138" spans="1:10" x14ac:dyDescent="0.2">
      <c r="C138" s="45"/>
      <c r="D138" s="45"/>
      <c r="E138" s="45"/>
      <c r="F138" s="45"/>
      <c r="G138" s="45"/>
      <c r="H138" s="45"/>
      <c r="I138" s="45"/>
      <c r="J138" s="45"/>
    </row>
    <row r="139" spans="1:10" x14ac:dyDescent="0.2">
      <c r="C139" s="45"/>
      <c r="D139" s="45"/>
      <c r="E139" s="45"/>
      <c r="F139" s="45"/>
      <c r="G139" s="45"/>
      <c r="H139" s="45"/>
      <c r="I139" s="45"/>
      <c r="J139" s="45"/>
    </row>
    <row r="140" spans="1:10" x14ac:dyDescent="0.2">
      <c r="C140" s="45"/>
      <c r="D140" s="45"/>
      <c r="E140" s="45"/>
      <c r="F140" s="45"/>
      <c r="G140" s="45"/>
      <c r="H140" s="45"/>
      <c r="I140" s="45"/>
      <c r="J140" s="45"/>
    </row>
    <row r="141" spans="1:10" x14ac:dyDescent="0.2">
      <c r="C141" s="45"/>
      <c r="D141" s="45"/>
      <c r="E141" s="45"/>
      <c r="F141" s="45"/>
      <c r="G141" s="45"/>
      <c r="H141" s="45"/>
      <c r="I141" s="45"/>
      <c r="J141" s="45"/>
    </row>
    <row r="142" spans="1:10" x14ac:dyDescent="0.2">
      <c r="C142" s="45"/>
      <c r="D142" s="45"/>
      <c r="E142" s="45"/>
      <c r="F142" s="45"/>
      <c r="G142" s="45"/>
      <c r="H142" s="45"/>
      <c r="I142" s="45"/>
      <c r="J142" s="45"/>
    </row>
    <row r="143" spans="1:10" x14ac:dyDescent="0.2">
      <c r="C143" s="45"/>
      <c r="D143" s="45"/>
      <c r="E143" s="45"/>
      <c r="F143" s="45"/>
      <c r="G143" s="45"/>
      <c r="H143" s="45"/>
      <c r="I143" s="45"/>
      <c r="J143" s="45"/>
    </row>
    <row r="144" spans="1:10" x14ac:dyDescent="0.2">
      <c r="C144" s="45"/>
      <c r="D144" s="45"/>
      <c r="E144" s="45"/>
      <c r="F144" s="45"/>
      <c r="G144" s="45"/>
      <c r="H144" s="45"/>
      <c r="I144" s="45"/>
      <c r="J144" s="45"/>
    </row>
    <row r="145" spans="3:10" x14ac:dyDescent="0.2">
      <c r="C145" s="45"/>
      <c r="D145" s="45"/>
      <c r="E145" s="45"/>
      <c r="F145" s="45"/>
      <c r="G145" s="45"/>
      <c r="H145" s="45"/>
      <c r="I145" s="45"/>
      <c r="J145" s="45"/>
    </row>
    <row r="146" spans="3:10" x14ac:dyDescent="0.2">
      <c r="C146" s="45"/>
      <c r="D146" s="45"/>
      <c r="E146" s="45"/>
      <c r="F146" s="45"/>
      <c r="G146" s="45"/>
      <c r="H146" s="45"/>
      <c r="I146" s="45"/>
      <c r="J146" s="45"/>
    </row>
    <row r="147" spans="3:10" x14ac:dyDescent="0.2">
      <c r="C147" s="45"/>
      <c r="D147" s="45"/>
      <c r="E147" s="45"/>
      <c r="F147" s="45"/>
      <c r="G147" s="45"/>
      <c r="H147" s="45"/>
      <c r="I147" s="45"/>
      <c r="J147" s="45"/>
    </row>
    <row r="148" spans="3:10" x14ac:dyDescent="0.2">
      <c r="C148" s="45"/>
      <c r="D148" s="45"/>
      <c r="E148" s="45"/>
      <c r="F148" s="45"/>
      <c r="G148" s="45"/>
      <c r="H148" s="45"/>
      <c r="I148" s="45"/>
      <c r="J148" s="45"/>
    </row>
    <row r="149" spans="3:10" x14ac:dyDescent="0.2">
      <c r="C149" s="45"/>
      <c r="D149" s="45"/>
      <c r="E149" s="45"/>
      <c r="F149" s="45"/>
      <c r="G149" s="45"/>
      <c r="H149" s="45"/>
      <c r="I149" s="45"/>
      <c r="J149" s="45"/>
    </row>
    <row r="150" spans="3:10" x14ac:dyDescent="0.2">
      <c r="C150" s="45"/>
      <c r="D150" s="45"/>
      <c r="E150" s="45"/>
      <c r="F150" s="45"/>
      <c r="G150" s="45"/>
      <c r="H150" s="45"/>
      <c r="I150" s="45"/>
      <c r="J150" s="45"/>
    </row>
    <row r="151" spans="3:10" x14ac:dyDescent="0.2">
      <c r="C151" s="45"/>
      <c r="D151" s="45"/>
      <c r="E151" s="45"/>
      <c r="F151" s="45"/>
      <c r="G151" s="45"/>
      <c r="H151" s="45"/>
      <c r="I151" s="45"/>
      <c r="J151" s="45"/>
    </row>
    <row r="152" spans="3:10" x14ac:dyDescent="0.2">
      <c r="C152" s="45"/>
      <c r="D152" s="45"/>
      <c r="E152" s="45"/>
      <c r="F152" s="45"/>
      <c r="G152" s="45"/>
      <c r="H152" s="45"/>
      <c r="I152" s="45"/>
      <c r="J152" s="45"/>
    </row>
    <row r="153" spans="3:10" x14ac:dyDescent="0.2">
      <c r="C153" s="45"/>
      <c r="D153" s="45"/>
      <c r="E153" s="45"/>
      <c r="F153" s="45"/>
      <c r="G153" s="45"/>
      <c r="H153" s="45"/>
      <c r="I153" s="45"/>
      <c r="J153" s="45"/>
    </row>
    <row r="154" spans="3:10" x14ac:dyDescent="0.2">
      <c r="C154" s="45"/>
      <c r="D154" s="45"/>
      <c r="E154" s="45"/>
      <c r="F154" s="45"/>
      <c r="G154" s="45"/>
      <c r="H154" s="45"/>
      <c r="I154" s="45"/>
      <c r="J154" s="45"/>
    </row>
    <row r="155" spans="3:10" x14ac:dyDescent="0.2">
      <c r="C155" s="45"/>
      <c r="D155" s="45"/>
      <c r="E155" s="45"/>
      <c r="F155" s="45"/>
      <c r="G155" s="45"/>
      <c r="H155" s="45"/>
      <c r="I155" s="45"/>
      <c r="J155" s="45"/>
    </row>
    <row r="156" spans="3:10" x14ac:dyDescent="0.2">
      <c r="C156" s="45"/>
      <c r="D156" s="45"/>
      <c r="E156" s="45"/>
      <c r="F156" s="45"/>
      <c r="G156" s="45"/>
      <c r="H156" s="45"/>
      <c r="I156" s="45"/>
      <c r="J156" s="45"/>
    </row>
    <row r="157" spans="3:10" x14ac:dyDescent="0.2">
      <c r="C157" s="45"/>
      <c r="D157" s="45"/>
      <c r="E157" s="45"/>
      <c r="F157" s="45"/>
      <c r="G157" s="45"/>
      <c r="H157" s="45"/>
      <c r="I157" s="45"/>
      <c r="J157" s="45"/>
    </row>
    <row r="158" spans="3:10" x14ac:dyDescent="0.2">
      <c r="C158" s="45"/>
      <c r="D158" s="45"/>
      <c r="E158" s="45"/>
      <c r="F158" s="45"/>
      <c r="G158" s="45"/>
      <c r="H158" s="45"/>
      <c r="I158" s="45"/>
      <c r="J158" s="45"/>
    </row>
    <row r="159" spans="3:10" x14ac:dyDescent="0.2">
      <c r="C159" s="45"/>
      <c r="D159" s="45"/>
      <c r="E159" s="45"/>
      <c r="F159" s="45"/>
      <c r="G159" s="45"/>
      <c r="H159" s="45"/>
      <c r="I159" s="45"/>
      <c r="J159" s="45"/>
    </row>
    <row r="160" spans="3:10" x14ac:dyDescent="0.2">
      <c r="C160" s="45"/>
      <c r="D160" s="45"/>
      <c r="E160" s="45"/>
      <c r="F160" s="45"/>
      <c r="G160" s="45"/>
      <c r="H160" s="45"/>
      <c r="I160" s="45"/>
      <c r="J160" s="45"/>
    </row>
    <row r="161" spans="3:10" x14ac:dyDescent="0.2">
      <c r="C161" s="45"/>
      <c r="D161" s="45"/>
      <c r="E161" s="45"/>
      <c r="F161" s="45"/>
      <c r="G161" s="45"/>
      <c r="H161" s="45"/>
      <c r="I161" s="45"/>
      <c r="J161" s="45"/>
    </row>
    <row r="162" spans="3:10" x14ac:dyDescent="0.2">
      <c r="C162" s="45"/>
      <c r="D162" s="45"/>
      <c r="E162" s="45"/>
      <c r="F162" s="45"/>
      <c r="G162" s="45"/>
      <c r="H162" s="45"/>
      <c r="I162" s="45"/>
      <c r="J162" s="45"/>
    </row>
    <row r="163" spans="3:10" x14ac:dyDescent="0.2">
      <c r="C163" s="45"/>
      <c r="D163" s="45"/>
      <c r="E163" s="45"/>
      <c r="F163" s="45"/>
      <c r="G163" s="45"/>
      <c r="H163" s="45"/>
      <c r="I163" s="45"/>
      <c r="J163" s="45"/>
    </row>
    <row r="164" spans="3:10" x14ac:dyDescent="0.2">
      <c r="C164" s="45"/>
      <c r="D164" s="45"/>
      <c r="E164" s="45"/>
      <c r="F164" s="45"/>
      <c r="G164" s="45"/>
      <c r="H164" s="45"/>
      <c r="I164" s="45"/>
      <c r="J164" s="45"/>
    </row>
    <row r="165" spans="3:10" x14ac:dyDescent="0.2">
      <c r="C165" s="45"/>
      <c r="D165" s="45"/>
      <c r="E165" s="45"/>
      <c r="F165" s="45"/>
      <c r="G165" s="45"/>
      <c r="H165" s="45"/>
      <c r="I165" s="45"/>
      <c r="J165" s="45"/>
    </row>
    <row r="166" spans="3:10" x14ac:dyDescent="0.2">
      <c r="C166" s="45"/>
      <c r="D166" s="45"/>
      <c r="E166" s="45"/>
      <c r="F166" s="45"/>
      <c r="G166" s="45"/>
      <c r="H166" s="45"/>
      <c r="I166" s="45"/>
      <c r="J166" s="45"/>
    </row>
    <row r="167" spans="3:10" x14ac:dyDescent="0.2">
      <c r="C167" s="45"/>
      <c r="D167" s="45"/>
      <c r="E167" s="45"/>
      <c r="F167" s="45"/>
      <c r="G167" s="45"/>
      <c r="H167" s="45"/>
      <c r="I167" s="45"/>
      <c r="J167" s="45"/>
    </row>
    <row r="168" spans="3:10" x14ac:dyDescent="0.2">
      <c r="C168" s="45"/>
      <c r="D168" s="45"/>
      <c r="E168" s="45"/>
      <c r="F168" s="45"/>
      <c r="G168" s="45"/>
      <c r="H168" s="45"/>
      <c r="I168" s="45"/>
      <c r="J168" s="45"/>
    </row>
    <row r="169" spans="3:10" x14ac:dyDescent="0.2">
      <c r="C169" s="45"/>
      <c r="D169" s="45"/>
      <c r="E169" s="45"/>
      <c r="F169" s="45"/>
      <c r="G169" s="45"/>
      <c r="H169" s="45"/>
      <c r="I169" s="45"/>
      <c r="J169" s="45"/>
    </row>
    <row r="170" spans="3:10" x14ac:dyDescent="0.2">
      <c r="C170" s="45"/>
      <c r="D170" s="45"/>
      <c r="E170" s="45"/>
      <c r="F170" s="45"/>
      <c r="G170" s="45"/>
      <c r="H170" s="45"/>
      <c r="I170" s="45"/>
      <c r="J170" s="45"/>
    </row>
  </sheetData>
  <mergeCells count="71">
    <mergeCell ref="G2:H2"/>
    <mergeCell ref="C14:D14"/>
    <mergeCell ref="G3:G4"/>
    <mergeCell ref="H3:H4"/>
    <mergeCell ref="A1:H1"/>
    <mergeCell ref="C9:D9"/>
    <mergeCell ref="C7:D7"/>
    <mergeCell ref="C10:D10"/>
    <mergeCell ref="C11:D11"/>
    <mergeCell ref="C12:D12"/>
    <mergeCell ref="C13:D13"/>
    <mergeCell ref="E3:F3"/>
    <mergeCell ref="C16:D16"/>
    <mergeCell ref="C26:D26"/>
    <mergeCell ref="C15:D15"/>
    <mergeCell ref="A3:A4"/>
    <mergeCell ref="B3:B4"/>
    <mergeCell ref="C8:D8"/>
    <mergeCell ref="C5:D5"/>
    <mergeCell ref="C6:D6"/>
    <mergeCell ref="C3:D4"/>
    <mergeCell ref="C17:D17"/>
    <mergeCell ref="C18:D18"/>
    <mergeCell ref="C19:D19"/>
    <mergeCell ref="C20:D20"/>
    <mergeCell ref="C21:D21"/>
    <mergeCell ref="C22:D22"/>
    <mergeCell ref="A24:A25"/>
    <mergeCell ref="B24:B25"/>
    <mergeCell ref="C24:D25"/>
    <mergeCell ref="E24:F24"/>
    <mergeCell ref="G24:G25"/>
    <mergeCell ref="H24:H25"/>
    <mergeCell ref="C29:D29"/>
    <mergeCell ref="C30:D30"/>
    <mergeCell ref="C31:D31"/>
    <mergeCell ref="C28:D28"/>
    <mergeCell ref="C27:D27"/>
    <mergeCell ref="A72:H72"/>
    <mergeCell ref="A76:H76"/>
    <mergeCell ref="A82:H82"/>
    <mergeCell ref="A92:H92"/>
    <mergeCell ref="C32:D32"/>
    <mergeCell ref="C33:D33"/>
    <mergeCell ref="C34:D34"/>
    <mergeCell ref="A36:H36"/>
    <mergeCell ref="A37:A38"/>
    <mergeCell ref="B37:B38"/>
    <mergeCell ref="C37:C38"/>
    <mergeCell ref="D37:F37"/>
    <mergeCell ref="G37:G38"/>
    <mergeCell ref="H37:H38"/>
    <mergeCell ref="A104:H104"/>
    <mergeCell ref="A109:H109"/>
    <mergeCell ref="A113:H113"/>
    <mergeCell ref="A117:H117"/>
    <mergeCell ref="A130:H130"/>
    <mergeCell ref="A133:H133"/>
    <mergeCell ref="A134:B134"/>
    <mergeCell ref="C134:D134"/>
    <mergeCell ref="E134:F134"/>
    <mergeCell ref="G134:H134"/>
    <mergeCell ref="C137:D137"/>
    <mergeCell ref="E137:F137"/>
    <mergeCell ref="G137:H137"/>
    <mergeCell ref="C135:D135"/>
    <mergeCell ref="E135:F135"/>
    <mergeCell ref="G135:H135"/>
    <mergeCell ref="C136:D136"/>
    <mergeCell ref="E136:F136"/>
    <mergeCell ref="G136:H136"/>
  </mergeCells>
  <phoneticPr fontId="20" type="noConversion"/>
  <printOptions horizontalCentered="1"/>
  <pageMargins left="1.02" right="0.39370078740157483" top="1.2598425196850394" bottom="0.51181102362204722" header="0.6692913385826772" footer="0.27559055118110237"/>
  <pageSetup scale="93" fitToHeight="2" orientation="landscape" r:id="rId1"/>
  <headerFooter alignWithMargins="0">
    <oddHeader>&amp;L&amp;"Arial Narrow,Negrita Cursiva"         Gobierno Autónomo Departamental de La Paz&amp;C&amp;"Arial,Negrita"&amp;12
FORMULARIO Nº 5
REQUERIMIENTO Y DISPONIBILIDAD DE RECURSOS HUMANOS&amp;R&amp;"Arial Narrow,Negrita Cursiva"Plan Operativo Anual  2021</oddHeader>
    <oddFooter>&amp;C&amp;P/&amp;N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L59"/>
  <sheetViews>
    <sheetView topLeftCell="A50" zoomScale="70" zoomScaleNormal="70" zoomScaleSheetLayoutView="100" zoomScalePageLayoutView="70" workbookViewId="0">
      <selection activeCell="M41" sqref="M41"/>
    </sheetView>
  </sheetViews>
  <sheetFormatPr baseColWidth="10" defaultRowHeight="12.75" x14ac:dyDescent="0.2"/>
  <cols>
    <col min="1" max="1" width="7.7109375" style="26" customWidth="1"/>
    <col min="2" max="2" width="28.42578125" style="26" customWidth="1"/>
    <col min="3" max="3" width="15.85546875" style="26" customWidth="1"/>
    <col min="4" max="4" width="22" style="26" customWidth="1"/>
    <col min="5" max="5" width="27.42578125" style="26" customWidth="1"/>
    <col min="6" max="6" width="14.28515625" style="26" bestFit="1" customWidth="1"/>
    <col min="7" max="7" width="17.140625" style="26" customWidth="1"/>
    <col min="8" max="8" width="19.5703125" style="26" customWidth="1"/>
    <col min="9" max="9" width="15.5703125" style="26" bestFit="1" customWidth="1"/>
    <col min="10" max="10" width="17.140625" style="26" customWidth="1"/>
    <col min="11" max="16384" width="11.42578125" style="26"/>
  </cols>
  <sheetData>
    <row r="1" spans="1:10" ht="18" x14ac:dyDescent="0.2">
      <c r="A1" s="1569" t="str">
        <f>'FORM-1'!A1:D1</f>
        <v>SECRETARÍA O SERVICIO DEPARTAMENTAL DE GESTION SOCIAL</v>
      </c>
      <c r="B1" s="1569"/>
      <c r="C1" s="1569"/>
      <c r="D1" s="1569"/>
      <c r="E1" s="1569"/>
      <c r="F1" s="1569"/>
      <c r="G1" s="1569"/>
      <c r="H1" s="1569"/>
      <c r="I1" s="1569"/>
      <c r="J1" s="1569"/>
    </row>
    <row r="2" spans="1:10" x14ac:dyDescent="0.2">
      <c r="A2" s="67"/>
      <c r="B2" s="79"/>
      <c r="C2" s="79"/>
      <c r="D2" s="79"/>
      <c r="E2" s="79"/>
      <c r="F2" s="79"/>
      <c r="G2" s="79"/>
      <c r="H2" s="79"/>
      <c r="I2" s="1805" t="str">
        <f>'FORM-1'!D2</f>
        <v>Fecha: 05/08/2020</v>
      </c>
      <c r="J2" s="1805"/>
    </row>
    <row r="3" spans="1:10" ht="13.5" thickBot="1" x14ac:dyDescent="0.25">
      <c r="A3" s="464" t="s">
        <v>338</v>
      </c>
      <c r="B3" s="464"/>
      <c r="C3" s="464"/>
      <c r="D3" s="464"/>
      <c r="E3" s="464"/>
      <c r="F3" s="464"/>
      <c r="G3" s="464"/>
      <c r="H3" s="464"/>
      <c r="I3" s="464"/>
      <c r="J3" s="464"/>
    </row>
    <row r="4" spans="1:10" ht="39" thickBot="1" x14ac:dyDescent="0.25">
      <c r="A4" s="600" t="s">
        <v>386</v>
      </c>
      <c r="B4" s="600" t="s">
        <v>354</v>
      </c>
      <c r="C4" s="600" t="s">
        <v>94</v>
      </c>
      <c r="D4" s="600" t="s">
        <v>410</v>
      </c>
      <c r="E4" s="600" t="s">
        <v>370</v>
      </c>
      <c r="F4" s="600" t="s">
        <v>469</v>
      </c>
      <c r="G4" s="600" t="s">
        <v>339</v>
      </c>
      <c r="H4" s="600" t="s">
        <v>219</v>
      </c>
      <c r="I4" s="600" t="s">
        <v>340</v>
      </c>
      <c r="J4" s="600" t="s">
        <v>298</v>
      </c>
    </row>
    <row r="5" spans="1:10" s="1001" customFormat="1" ht="120" customHeight="1" x14ac:dyDescent="0.2">
      <c r="A5" s="831"/>
      <c r="B5" s="977" t="s">
        <v>1251</v>
      </c>
      <c r="C5" s="976" t="s">
        <v>1252</v>
      </c>
      <c r="D5" s="998" t="s">
        <v>1253</v>
      </c>
      <c r="E5" s="997" t="s">
        <v>1254</v>
      </c>
      <c r="F5" s="959" t="s">
        <v>1255</v>
      </c>
      <c r="G5" s="958" t="s">
        <v>1256</v>
      </c>
      <c r="H5" s="998" t="s">
        <v>1257</v>
      </c>
      <c r="I5" s="963">
        <v>44198</v>
      </c>
      <c r="J5" s="962">
        <v>44561</v>
      </c>
    </row>
    <row r="6" spans="1:10" s="1001" customFormat="1" ht="120" customHeight="1" x14ac:dyDescent="0.2">
      <c r="A6" s="1000"/>
      <c r="B6" s="975" t="s">
        <v>1258</v>
      </c>
      <c r="C6" s="995" t="s">
        <v>1258</v>
      </c>
      <c r="D6" s="996" t="s">
        <v>1253</v>
      </c>
      <c r="E6" s="995" t="s">
        <v>1254</v>
      </c>
      <c r="F6" s="957" t="s">
        <v>1255</v>
      </c>
      <c r="G6" s="956" t="s">
        <v>1256</v>
      </c>
      <c r="H6" s="996" t="s">
        <v>1257</v>
      </c>
      <c r="I6" s="990">
        <v>44198</v>
      </c>
      <c r="J6" s="989">
        <v>44561</v>
      </c>
    </row>
    <row r="7" spans="1:10" s="1001" customFormat="1" ht="120" customHeight="1" x14ac:dyDescent="0.2">
      <c r="A7" s="1000"/>
      <c r="B7" s="975" t="s">
        <v>1259</v>
      </c>
      <c r="C7" s="995" t="s">
        <v>1259</v>
      </c>
      <c r="D7" s="996" t="s">
        <v>1253</v>
      </c>
      <c r="E7" s="995" t="s">
        <v>1254</v>
      </c>
      <c r="F7" s="957" t="s">
        <v>1255</v>
      </c>
      <c r="G7" s="956" t="s">
        <v>1256</v>
      </c>
      <c r="H7" s="996" t="s">
        <v>1257</v>
      </c>
      <c r="I7" s="990">
        <v>44198</v>
      </c>
      <c r="J7" s="989">
        <v>44561</v>
      </c>
    </row>
    <row r="8" spans="1:10" s="1001" customFormat="1" ht="120" customHeight="1" x14ac:dyDescent="0.2">
      <c r="A8" s="1000"/>
      <c r="B8" s="994" t="s">
        <v>1260</v>
      </c>
      <c r="C8" s="993" t="s">
        <v>1261</v>
      </c>
      <c r="D8" s="992" t="s">
        <v>1262</v>
      </c>
      <c r="E8" s="993" t="s">
        <v>1208</v>
      </c>
      <c r="F8" s="955">
        <v>90600</v>
      </c>
      <c r="G8" s="947">
        <v>7550</v>
      </c>
      <c r="H8" s="991" t="s">
        <v>1263</v>
      </c>
      <c r="I8" s="990">
        <v>44198</v>
      </c>
      <c r="J8" s="989">
        <v>44561</v>
      </c>
    </row>
    <row r="9" spans="1:10" s="1001" customFormat="1" ht="120" customHeight="1" x14ac:dyDescent="0.2">
      <c r="A9" s="1000"/>
      <c r="B9" s="994" t="s">
        <v>1264</v>
      </c>
      <c r="C9" s="993" t="s">
        <v>1265</v>
      </c>
      <c r="D9" s="992" t="s">
        <v>1262</v>
      </c>
      <c r="E9" s="993" t="s">
        <v>1208</v>
      </c>
      <c r="F9" s="955">
        <v>57216</v>
      </c>
      <c r="G9" s="947">
        <v>4768</v>
      </c>
      <c r="H9" s="991" t="s">
        <v>1266</v>
      </c>
      <c r="I9" s="990">
        <v>44198</v>
      </c>
      <c r="J9" s="989">
        <v>44561</v>
      </c>
    </row>
    <row r="10" spans="1:10" s="1001" customFormat="1" ht="120" customHeight="1" x14ac:dyDescent="0.2">
      <c r="A10" s="1000"/>
      <c r="B10" s="994" t="s">
        <v>1267</v>
      </c>
      <c r="C10" s="993" t="s">
        <v>1265</v>
      </c>
      <c r="D10" s="992" t="s">
        <v>1262</v>
      </c>
      <c r="E10" s="993" t="s">
        <v>1208</v>
      </c>
      <c r="F10" s="955">
        <v>57216</v>
      </c>
      <c r="G10" s="947">
        <v>4768</v>
      </c>
      <c r="H10" s="991" t="s">
        <v>1266</v>
      </c>
      <c r="I10" s="990">
        <v>44198</v>
      </c>
      <c r="J10" s="989">
        <v>44561</v>
      </c>
    </row>
    <row r="11" spans="1:10" s="1001" customFormat="1" ht="120" customHeight="1" x14ac:dyDescent="0.2">
      <c r="A11" s="1000"/>
      <c r="B11" s="994" t="s">
        <v>1268</v>
      </c>
      <c r="C11" s="993" t="s">
        <v>1265</v>
      </c>
      <c r="D11" s="992" t="s">
        <v>1262</v>
      </c>
      <c r="E11" s="993" t="s">
        <v>1208</v>
      </c>
      <c r="F11" s="955">
        <v>75600</v>
      </c>
      <c r="G11" s="947">
        <v>6300</v>
      </c>
      <c r="H11" s="991" t="s">
        <v>1269</v>
      </c>
      <c r="I11" s="990">
        <v>44198</v>
      </c>
      <c r="J11" s="989">
        <v>44561</v>
      </c>
    </row>
    <row r="12" spans="1:10" s="1001" customFormat="1" ht="120" customHeight="1" x14ac:dyDescent="0.2">
      <c r="A12" s="1000"/>
      <c r="B12" s="994" t="s">
        <v>1270</v>
      </c>
      <c r="C12" s="993" t="s">
        <v>1265</v>
      </c>
      <c r="D12" s="992" t="s">
        <v>1262</v>
      </c>
      <c r="E12" s="993" t="s">
        <v>1208</v>
      </c>
      <c r="F12" s="955">
        <v>75600</v>
      </c>
      <c r="G12" s="947">
        <v>6300</v>
      </c>
      <c r="H12" s="991" t="s">
        <v>1269</v>
      </c>
      <c r="I12" s="990">
        <v>44198</v>
      </c>
      <c r="J12" s="989">
        <v>44561</v>
      </c>
    </row>
    <row r="13" spans="1:10" s="1001" customFormat="1" ht="120" customHeight="1" x14ac:dyDescent="0.2">
      <c r="A13" s="1000"/>
      <c r="B13" s="994" t="s">
        <v>1271</v>
      </c>
      <c r="C13" s="993" t="s">
        <v>1272</v>
      </c>
      <c r="D13" s="992" t="s">
        <v>1262</v>
      </c>
      <c r="E13" s="993" t="s">
        <v>1208</v>
      </c>
      <c r="F13" s="955">
        <v>57216</v>
      </c>
      <c r="G13" s="947">
        <v>4768</v>
      </c>
      <c r="H13" s="991" t="s">
        <v>1266</v>
      </c>
      <c r="I13" s="990">
        <v>44198</v>
      </c>
      <c r="J13" s="989">
        <v>44561</v>
      </c>
    </row>
    <row r="14" spans="1:10" s="1001" customFormat="1" ht="120" customHeight="1" x14ac:dyDescent="0.2">
      <c r="A14" s="1000"/>
      <c r="B14" s="988" t="s">
        <v>1273</v>
      </c>
      <c r="C14" s="995" t="s">
        <v>1274</v>
      </c>
      <c r="D14" s="996" t="s">
        <v>1275</v>
      </c>
      <c r="E14" s="995" t="s">
        <v>1276</v>
      </c>
      <c r="F14" s="954">
        <v>75600</v>
      </c>
      <c r="G14" s="953">
        <v>6300</v>
      </c>
      <c r="H14" s="996" t="s">
        <v>1277</v>
      </c>
      <c r="I14" s="990">
        <v>44198</v>
      </c>
      <c r="J14" s="989">
        <v>44561</v>
      </c>
    </row>
    <row r="15" spans="1:10" s="1001" customFormat="1" ht="120" customHeight="1" x14ac:dyDescent="0.2">
      <c r="A15" s="1000"/>
      <c r="B15" s="988" t="s">
        <v>1278</v>
      </c>
      <c r="C15" s="995" t="s">
        <v>1279</v>
      </c>
      <c r="D15" s="996" t="s">
        <v>1275</v>
      </c>
      <c r="E15" s="995" t="s">
        <v>1276</v>
      </c>
      <c r="F15" s="954">
        <v>52448</v>
      </c>
      <c r="G15" s="953">
        <v>4768</v>
      </c>
      <c r="H15" s="996" t="s">
        <v>1257</v>
      </c>
      <c r="I15" s="990">
        <v>44229</v>
      </c>
      <c r="J15" s="989">
        <v>44561</v>
      </c>
    </row>
    <row r="16" spans="1:10" s="1001" customFormat="1" ht="120" customHeight="1" x14ac:dyDescent="0.2">
      <c r="A16" s="1000"/>
      <c r="B16" s="988" t="s">
        <v>1280</v>
      </c>
      <c r="C16" s="995" t="s">
        <v>1281</v>
      </c>
      <c r="D16" s="996" t="s">
        <v>1275</v>
      </c>
      <c r="E16" s="995" t="s">
        <v>1276</v>
      </c>
      <c r="F16" s="954">
        <v>52448</v>
      </c>
      <c r="G16" s="953">
        <v>4768</v>
      </c>
      <c r="H16" s="996" t="s">
        <v>1257</v>
      </c>
      <c r="I16" s="990">
        <v>44229</v>
      </c>
      <c r="J16" s="989">
        <v>44561</v>
      </c>
    </row>
    <row r="17" spans="1:10" s="1001" customFormat="1" ht="120" customHeight="1" x14ac:dyDescent="0.2">
      <c r="A17" s="1000"/>
      <c r="B17" s="988" t="s">
        <v>1282</v>
      </c>
      <c r="C17" s="995" t="s">
        <v>1283</v>
      </c>
      <c r="D17" s="996" t="s">
        <v>1262</v>
      </c>
      <c r="E17" s="995" t="s">
        <v>1284</v>
      </c>
      <c r="F17" s="954">
        <f>+G17*12</f>
        <v>75600</v>
      </c>
      <c r="G17" s="954">
        <v>6300</v>
      </c>
      <c r="H17" s="996" t="s">
        <v>1285</v>
      </c>
      <c r="I17" s="990">
        <v>44228</v>
      </c>
      <c r="J17" s="989">
        <v>44561</v>
      </c>
    </row>
    <row r="18" spans="1:10" s="1001" customFormat="1" ht="120" customHeight="1" x14ac:dyDescent="0.2">
      <c r="A18" s="1000"/>
      <c r="B18" s="988" t="s">
        <v>1286</v>
      </c>
      <c r="C18" s="995" t="s">
        <v>1287</v>
      </c>
      <c r="D18" s="996" t="s">
        <v>1262</v>
      </c>
      <c r="E18" s="995" t="s">
        <v>1284</v>
      </c>
      <c r="F18" s="954">
        <f t="shared" ref="F18:F21" si="0">+G18*11</f>
        <v>69300</v>
      </c>
      <c r="G18" s="954">
        <v>6300</v>
      </c>
      <c r="H18" s="996" t="s">
        <v>1285</v>
      </c>
      <c r="I18" s="990">
        <v>44229</v>
      </c>
      <c r="J18" s="989">
        <v>44561</v>
      </c>
    </row>
    <row r="19" spans="1:10" s="1001" customFormat="1" ht="120" customHeight="1" x14ac:dyDescent="0.2">
      <c r="A19" s="1000"/>
      <c r="B19" s="988" t="s">
        <v>1288</v>
      </c>
      <c r="C19" s="995" t="s">
        <v>1289</v>
      </c>
      <c r="D19" s="996" t="s">
        <v>1262</v>
      </c>
      <c r="E19" s="995" t="s">
        <v>1284</v>
      </c>
      <c r="F19" s="954">
        <f t="shared" si="0"/>
        <v>69300</v>
      </c>
      <c r="G19" s="954">
        <v>6300</v>
      </c>
      <c r="H19" s="996" t="s">
        <v>1285</v>
      </c>
      <c r="I19" s="990">
        <v>44229</v>
      </c>
      <c r="J19" s="989">
        <v>44561</v>
      </c>
    </row>
    <row r="20" spans="1:10" s="1001" customFormat="1" ht="120" customHeight="1" x14ac:dyDescent="0.2">
      <c r="A20" s="1000"/>
      <c r="B20" s="988" t="s">
        <v>1290</v>
      </c>
      <c r="C20" s="995" t="s">
        <v>1291</v>
      </c>
      <c r="D20" s="996" t="s">
        <v>1262</v>
      </c>
      <c r="E20" s="995" t="s">
        <v>1284</v>
      </c>
      <c r="F20" s="954">
        <f t="shared" si="0"/>
        <v>69300</v>
      </c>
      <c r="G20" s="954">
        <v>6300</v>
      </c>
      <c r="H20" s="996" t="s">
        <v>1285</v>
      </c>
      <c r="I20" s="990">
        <v>44229</v>
      </c>
      <c r="J20" s="989">
        <v>44561</v>
      </c>
    </row>
    <row r="21" spans="1:10" s="1001" customFormat="1" ht="120" customHeight="1" x14ac:dyDescent="0.2">
      <c r="A21" s="1000"/>
      <c r="B21" s="988" t="s">
        <v>1292</v>
      </c>
      <c r="C21" s="995" t="s">
        <v>1293</v>
      </c>
      <c r="D21" s="996" t="s">
        <v>1262</v>
      </c>
      <c r="E21" s="995" t="s">
        <v>1284</v>
      </c>
      <c r="F21" s="954">
        <f t="shared" si="0"/>
        <v>69300</v>
      </c>
      <c r="G21" s="954">
        <v>6300</v>
      </c>
      <c r="H21" s="996" t="s">
        <v>1285</v>
      </c>
      <c r="I21" s="990">
        <v>44229</v>
      </c>
      <c r="J21" s="989">
        <v>44561</v>
      </c>
    </row>
    <row r="22" spans="1:10" s="1001" customFormat="1" ht="120" customHeight="1" x14ac:dyDescent="0.2">
      <c r="A22" s="1000"/>
      <c r="B22" s="988" t="s">
        <v>1294</v>
      </c>
      <c r="C22" s="995" t="s">
        <v>1295</v>
      </c>
      <c r="D22" s="996" t="s">
        <v>1262</v>
      </c>
      <c r="E22" s="995" t="s">
        <v>1296</v>
      </c>
      <c r="F22" s="954">
        <v>75600</v>
      </c>
      <c r="G22" s="953">
        <v>6300</v>
      </c>
      <c r="H22" s="996" t="s">
        <v>1285</v>
      </c>
      <c r="I22" s="990">
        <v>44228</v>
      </c>
      <c r="J22" s="989">
        <v>44561</v>
      </c>
    </row>
    <row r="23" spans="1:10" s="1001" customFormat="1" ht="120" customHeight="1" x14ac:dyDescent="0.2">
      <c r="A23" s="1000"/>
      <c r="B23" s="988" t="s">
        <v>1297</v>
      </c>
      <c r="C23" s="995" t="s">
        <v>1334</v>
      </c>
      <c r="D23" s="996" t="s">
        <v>1262</v>
      </c>
      <c r="E23" s="995" t="s">
        <v>1296</v>
      </c>
      <c r="F23" s="954">
        <v>69300</v>
      </c>
      <c r="G23" s="953">
        <v>6300</v>
      </c>
      <c r="H23" s="996" t="s">
        <v>1285</v>
      </c>
      <c r="I23" s="990">
        <v>44228</v>
      </c>
      <c r="J23" s="989">
        <v>44561</v>
      </c>
    </row>
    <row r="24" spans="1:10" s="1001" customFormat="1" ht="120" customHeight="1" x14ac:dyDescent="0.2">
      <c r="A24" s="1000"/>
      <c r="B24" s="988" t="s">
        <v>1298</v>
      </c>
      <c r="C24" s="995" t="s">
        <v>1295</v>
      </c>
      <c r="D24" s="996" t="s">
        <v>1262</v>
      </c>
      <c r="E24" s="995" t="s">
        <v>1296</v>
      </c>
      <c r="F24" s="954">
        <v>52448</v>
      </c>
      <c r="G24" s="953">
        <v>4768</v>
      </c>
      <c r="H24" s="996" t="s">
        <v>1299</v>
      </c>
      <c r="I24" s="990">
        <v>44229</v>
      </c>
      <c r="J24" s="989">
        <v>44561</v>
      </c>
    </row>
    <row r="25" spans="1:10" s="1001" customFormat="1" ht="120" customHeight="1" x14ac:dyDescent="0.2">
      <c r="A25" s="1000"/>
      <c r="B25" s="988" t="s">
        <v>1300</v>
      </c>
      <c r="C25" s="995" t="s">
        <v>1295</v>
      </c>
      <c r="D25" s="996" t="s">
        <v>1262</v>
      </c>
      <c r="E25" s="995" t="s">
        <v>1296</v>
      </c>
      <c r="F25" s="954">
        <v>52448</v>
      </c>
      <c r="G25" s="953">
        <v>4768</v>
      </c>
      <c r="H25" s="996" t="s">
        <v>1299</v>
      </c>
      <c r="I25" s="990">
        <v>44229</v>
      </c>
      <c r="J25" s="989">
        <v>44561</v>
      </c>
    </row>
    <row r="26" spans="1:10" s="1001" customFormat="1" ht="120" customHeight="1" x14ac:dyDescent="0.2">
      <c r="A26" s="1000"/>
      <c r="B26" s="988" t="s">
        <v>1301</v>
      </c>
      <c r="C26" s="995" t="s">
        <v>1302</v>
      </c>
      <c r="D26" s="996" t="s">
        <v>1262</v>
      </c>
      <c r="E26" s="995" t="s">
        <v>1296</v>
      </c>
      <c r="F26" s="954">
        <v>52448</v>
      </c>
      <c r="G26" s="953">
        <v>4768</v>
      </c>
      <c r="H26" s="996" t="s">
        <v>1299</v>
      </c>
      <c r="I26" s="990">
        <v>44229</v>
      </c>
      <c r="J26" s="989">
        <v>44561</v>
      </c>
    </row>
    <row r="27" spans="1:10" s="1001" customFormat="1" ht="120" customHeight="1" x14ac:dyDescent="0.2">
      <c r="A27" s="1000"/>
      <c r="B27" s="988" t="s">
        <v>1303</v>
      </c>
      <c r="C27" s="995" t="s">
        <v>1302</v>
      </c>
      <c r="D27" s="996" t="s">
        <v>1262</v>
      </c>
      <c r="E27" s="995" t="s">
        <v>1296</v>
      </c>
      <c r="F27" s="954">
        <v>52448</v>
      </c>
      <c r="G27" s="953">
        <v>4768</v>
      </c>
      <c r="H27" s="996" t="s">
        <v>1299</v>
      </c>
      <c r="I27" s="990">
        <v>44229</v>
      </c>
      <c r="J27" s="989">
        <v>44561</v>
      </c>
    </row>
    <row r="28" spans="1:10" s="1001" customFormat="1" ht="120" customHeight="1" x14ac:dyDescent="0.2">
      <c r="A28" s="1000"/>
      <c r="B28" s="988" t="s">
        <v>1304</v>
      </c>
      <c r="C28" s="995" t="s">
        <v>1305</v>
      </c>
      <c r="D28" s="996" t="s">
        <v>1262</v>
      </c>
      <c r="E28" s="995" t="s">
        <v>1296</v>
      </c>
      <c r="F28" s="954">
        <v>45848</v>
      </c>
      <c r="G28" s="954">
        <v>4168</v>
      </c>
      <c r="H28" s="996" t="s">
        <v>1306</v>
      </c>
      <c r="I28" s="990">
        <v>44229</v>
      </c>
      <c r="J28" s="989">
        <v>44561</v>
      </c>
    </row>
    <row r="29" spans="1:10" s="1001" customFormat="1" ht="120" customHeight="1" x14ac:dyDescent="0.2">
      <c r="A29" s="833"/>
      <c r="B29" s="988" t="s">
        <v>1307</v>
      </c>
      <c r="C29" s="995" t="s">
        <v>1305</v>
      </c>
      <c r="D29" s="996" t="s">
        <v>1262</v>
      </c>
      <c r="E29" s="995" t="s">
        <v>1296</v>
      </c>
      <c r="F29" s="954">
        <v>45848</v>
      </c>
      <c r="G29" s="954">
        <v>4168</v>
      </c>
      <c r="H29" s="996" t="s">
        <v>1306</v>
      </c>
      <c r="I29" s="990">
        <v>44229</v>
      </c>
      <c r="J29" s="989">
        <v>44561</v>
      </c>
    </row>
    <row r="30" spans="1:10" s="1001" customFormat="1" ht="120" customHeight="1" x14ac:dyDescent="0.2">
      <c r="A30" s="833"/>
      <c r="B30" s="988" t="s">
        <v>1308</v>
      </c>
      <c r="C30" s="995" t="s">
        <v>1305</v>
      </c>
      <c r="D30" s="996" t="s">
        <v>1262</v>
      </c>
      <c r="E30" s="995" t="s">
        <v>1296</v>
      </c>
      <c r="F30" s="954">
        <v>45848</v>
      </c>
      <c r="G30" s="954">
        <v>4168</v>
      </c>
      <c r="H30" s="996" t="s">
        <v>1306</v>
      </c>
      <c r="I30" s="990">
        <v>44229</v>
      </c>
      <c r="J30" s="989">
        <v>44561</v>
      </c>
    </row>
    <row r="31" spans="1:10" s="1001" customFormat="1" ht="120" customHeight="1" x14ac:dyDescent="0.2">
      <c r="A31" s="999"/>
      <c r="B31" s="988" t="s">
        <v>1309</v>
      </c>
      <c r="C31" s="995" t="s">
        <v>1305</v>
      </c>
      <c r="D31" s="996" t="s">
        <v>1262</v>
      </c>
      <c r="E31" s="995" t="s">
        <v>1296</v>
      </c>
      <c r="F31" s="954">
        <v>45848</v>
      </c>
      <c r="G31" s="954">
        <v>4168</v>
      </c>
      <c r="H31" s="996" t="s">
        <v>1306</v>
      </c>
      <c r="I31" s="990">
        <v>44229</v>
      </c>
      <c r="J31" s="989">
        <v>44561</v>
      </c>
    </row>
    <row r="32" spans="1:10" s="1001" customFormat="1" ht="120" customHeight="1" x14ac:dyDescent="0.2">
      <c r="A32" s="999"/>
      <c r="B32" s="988" t="s">
        <v>1310</v>
      </c>
      <c r="C32" s="974"/>
      <c r="D32" s="996" t="s">
        <v>1262</v>
      </c>
      <c r="E32" s="995" t="s">
        <v>1296</v>
      </c>
      <c r="F32" s="954">
        <v>45848</v>
      </c>
      <c r="G32" s="954">
        <v>4168</v>
      </c>
      <c r="H32" s="996" t="s">
        <v>1306</v>
      </c>
      <c r="I32" s="990">
        <v>44229</v>
      </c>
      <c r="J32" s="989">
        <v>44561</v>
      </c>
    </row>
    <row r="33" spans="1:12" s="1001" customFormat="1" ht="120" customHeight="1" x14ac:dyDescent="0.2">
      <c r="A33" s="999"/>
      <c r="B33" s="988" t="s">
        <v>1310</v>
      </c>
      <c r="C33" s="974"/>
      <c r="D33" s="996" t="s">
        <v>1262</v>
      </c>
      <c r="E33" s="995" t="s">
        <v>1296</v>
      </c>
      <c r="F33" s="954">
        <v>45848</v>
      </c>
      <c r="G33" s="954">
        <v>4168</v>
      </c>
      <c r="H33" s="996" t="s">
        <v>1306</v>
      </c>
      <c r="I33" s="990">
        <v>44229</v>
      </c>
      <c r="J33" s="989">
        <v>44561</v>
      </c>
    </row>
    <row r="34" spans="1:12" s="1001" customFormat="1" ht="120" customHeight="1" x14ac:dyDescent="0.2">
      <c r="A34" s="999"/>
      <c r="B34" s="988" t="s">
        <v>1311</v>
      </c>
      <c r="C34" s="995" t="s">
        <v>1312</v>
      </c>
      <c r="D34" s="996" t="s">
        <v>1262</v>
      </c>
      <c r="E34" s="995" t="s">
        <v>1296</v>
      </c>
      <c r="F34" s="954">
        <v>52448</v>
      </c>
      <c r="G34" s="953">
        <v>4768</v>
      </c>
      <c r="H34" s="996" t="s">
        <v>1299</v>
      </c>
      <c r="I34" s="990">
        <v>44229</v>
      </c>
      <c r="J34" s="989">
        <v>44561</v>
      </c>
    </row>
    <row r="35" spans="1:12" s="1001" customFormat="1" ht="120" customHeight="1" x14ac:dyDescent="0.2">
      <c r="A35" s="999"/>
      <c r="B35" s="973" t="s">
        <v>1313</v>
      </c>
      <c r="C35" s="972" t="s">
        <v>1314</v>
      </c>
      <c r="D35" s="992" t="s">
        <v>1262</v>
      </c>
      <c r="E35" s="993" t="s">
        <v>1315</v>
      </c>
      <c r="F35" s="952">
        <v>52448</v>
      </c>
      <c r="G35" s="946">
        <v>4768</v>
      </c>
      <c r="H35" s="992" t="s">
        <v>1257</v>
      </c>
      <c r="I35" s="986">
        <v>44531</v>
      </c>
      <c r="J35" s="987">
        <v>44561</v>
      </c>
    </row>
    <row r="36" spans="1:12" s="1001" customFormat="1" ht="120" customHeight="1" x14ac:dyDescent="0.2">
      <c r="A36" s="999"/>
      <c r="B36" s="973" t="s">
        <v>1316</v>
      </c>
      <c r="C36" s="972" t="s">
        <v>1317</v>
      </c>
      <c r="D36" s="992" t="s">
        <v>1262</v>
      </c>
      <c r="E36" s="993" t="s">
        <v>1315</v>
      </c>
      <c r="F36" s="952">
        <v>52448</v>
      </c>
      <c r="G36" s="946">
        <v>4768</v>
      </c>
      <c r="H36" s="992" t="s">
        <v>1257</v>
      </c>
      <c r="I36" s="986">
        <v>44197</v>
      </c>
      <c r="J36" s="987">
        <v>44561</v>
      </c>
    </row>
    <row r="37" spans="1:12" s="1001" customFormat="1" ht="120" customHeight="1" x14ac:dyDescent="0.2">
      <c r="A37" s="999"/>
      <c r="B37" s="973" t="s">
        <v>1318</v>
      </c>
      <c r="C37" s="972" t="s">
        <v>1319</v>
      </c>
      <c r="D37" s="992" t="s">
        <v>1262</v>
      </c>
      <c r="E37" s="993" t="s">
        <v>1315</v>
      </c>
      <c r="F37" s="952">
        <v>52448</v>
      </c>
      <c r="G37" s="946">
        <v>4768</v>
      </c>
      <c r="H37" s="992" t="s">
        <v>1257</v>
      </c>
      <c r="I37" s="986">
        <v>44197</v>
      </c>
      <c r="J37" s="987">
        <v>44561</v>
      </c>
    </row>
    <row r="38" spans="1:12" s="1001" customFormat="1" ht="120" customHeight="1" x14ac:dyDescent="0.2">
      <c r="A38" s="999"/>
      <c r="B38" s="994" t="s">
        <v>1320</v>
      </c>
      <c r="C38" s="992" t="s">
        <v>1335</v>
      </c>
      <c r="D38" s="992" t="s">
        <v>1262</v>
      </c>
      <c r="E38" s="967" t="s">
        <v>1193</v>
      </c>
      <c r="F38" s="954">
        <f t="shared" ref="F38" si="1">+G38*11</f>
        <v>69300</v>
      </c>
      <c r="G38" s="954">
        <v>6300</v>
      </c>
      <c r="H38" s="993" t="s">
        <v>1285</v>
      </c>
      <c r="I38" s="986">
        <v>44197</v>
      </c>
      <c r="J38" s="987">
        <v>44561</v>
      </c>
      <c r="K38" s="968"/>
    </row>
    <row r="39" spans="1:12" s="1001" customFormat="1" ht="120" customHeight="1" x14ac:dyDescent="0.2">
      <c r="A39" s="999"/>
      <c r="B39" s="971" t="s">
        <v>1321</v>
      </c>
      <c r="C39" s="970" t="s">
        <v>1336</v>
      </c>
      <c r="D39" s="992" t="s">
        <v>1262</v>
      </c>
      <c r="E39" s="967" t="s">
        <v>1193</v>
      </c>
      <c r="F39" s="954">
        <f t="shared" ref="F39" si="2">+G39*11</f>
        <v>69300</v>
      </c>
      <c r="G39" s="954">
        <v>6300</v>
      </c>
      <c r="H39" s="993" t="s">
        <v>1285</v>
      </c>
      <c r="I39" s="986">
        <v>44197</v>
      </c>
      <c r="J39" s="987">
        <v>44561</v>
      </c>
      <c r="K39" s="965"/>
    </row>
    <row r="40" spans="1:12" s="1001" customFormat="1" ht="120" customHeight="1" x14ac:dyDescent="0.2">
      <c r="A40" s="999"/>
      <c r="B40" s="971" t="s">
        <v>1322</v>
      </c>
      <c r="C40" s="966" t="s">
        <v>1337</v>
      </c>
      <c r="D40" s="992" t="s">
        <v>1262</v>
      </c>
      <c r="E40" s="967" t="s">
        <v>1193</v>
      </c>
      <c r="F40" s="954">
        <f t="shared" ref="F40" si="3">+G40*11</f>
        <v>69300</v>
      </c>
      <c r="G40" s="954">
        <v>6300</v>
      </c>
      <c r="H40" s="993" t="s">
        <v>1285</v>
      </c>
      <c r="I40" s="986">
        <v>44197</v>
      </c>
      <c r="J40" s="987">
        <v>44561</v>
      </c>
      <c r="K40" s="965"/>
    </row>
    <row r="41" spans="1:12" s="1001" customFormat="1" ht="120" customHeight="1" x14ac:dyDescent="0.2">
      <c r="A41" s="999"/>
      <c r="B41" s="971" t="s">
        <v>1323</v>
      </c>
      <c r="C41" s="970" t="s">
        <v>1257</v>
      </c>
      <c r="D41" s="992" t="s">
        <v>1262</v>
      </c>
      <c r="E41" s="967" t="s">
        <v>1193</v>
      </c>
      <c r="F41" s="951">
        <v>52448</v>
      </c>
      <c r="G41" s="950">
        <v>4768</v>
      </c>
      <c r="H41" s="969" t="s">
        <v>1266</v>
      </c>
      <c r="I41" s="986">
        <v>44197</v>
      </c>
      <c r="J41" s="987">
        <v>44561</v>
      </c>
      <c r="K41" s="1020"/>
      <c r="L41" s="1022"/>
    </row>
    <row r="42" spans="1:12" s="1001" customFormat="1" ht="120" customHeight="1" x14ac:dyDescent="0.2">
      <c r="A42" s="999"/>
      <c r="B42" s="971" t="s">
        <v>1324</v>
      </c>
      <c r="C42" s="964" t="s">
        <v>1338</v>
      </c>
      <c r="D42" s="992" t="s">
        <v>1262</v>
      </c>
      <c r="E42" s="967" t="s">
        <v>1193</v>
      </c>
      <c r="F42" s="951">
        <v>52448</v>
      </c>
      <c r="G42" s="950">
        <v>4768</v>
      </c>
      <c r="H42" s="969" t="s">
        <v>1266</v>
      </c>
      <c r="I42" s="986">
        <v>44197</v>
      </c>
      <c r="J42" s="987">
        <v>44561</v>
      </c>
      <c r="K42" s="1021"/>
      <c r="L42" s="1022"/>
    </row>
    <row r="43" spans="1:12" s="1001" customFormat="1" ht="120" customHeight="1" x14ac:dyDescent="0.2">
      <c r="A43" s="999"/>
      <c r="B43" s="985" t="s">
        <v>1325</v>
      </c>
      <c r="C43" s="984" t="s">
        <v>1279</v>
      </c>
      <c r="D43" s="992" t="s">
        <v>1262</v>
      </c>
      <c r="E43" s="982" t="s">
        <v>1161</v>
      </c>
      <c r="F43" s="949">
        <f>G43*12</f>
        <v>75600</v>
      </c>
      <c r="G43" s="949">
        <v>6300</v>
      </c>
      <c r="H43" s="983" t="s">
        <v>1285</v>
      </c>
      <c r="I43" s="986">
        <v>44197</v>
      </c>
      <c r="J43" s="987">
        <v>44561</v>
      </c>
    </row>
    <row r="44" spans="1:12" s="1001" customFormat="1" ht="120" customHeight="1" x14ac:dyDescent="0.2">
      <c r="A44" s="999"/>
      <c r="B44" s="985" t="s">
        <v>1326</v>
      </c>
      <c r="C44" s="982" t="s">
        <v>1279</v>
      </c>
      <c r="D44" s="992" t="s">
        <v>1262</v>
      </c>
      <c r="E44" s="982" t="s">
        <v>1161</v>
      </c>
      <c r="F44" s="949">
        <f>G44*11</f>
        <v>52448</v>
      </c>
      <c r="G44" s="949">
        <v>4768</v>
      </c>
      <c r="H44" s="983" t="s">
        <v>1257</v>
      </c>
      <c r="I44" s="986">
        <v>44197</v>
      </c>
      <c r="J44" s="987">
        <v>44561</v>
      </c>
    </row>
    <row r="45" spans="1:12" s="1001" customFormat="1" ht="120" customHeight="1" x14ac:dyDescent="0.2">
      <c r="A45" s="999"/>
      <c r="B45" s="985" t="s">
        <v>1327</v>
      </c>
      <c r="C45" s="982" t="s">
        <v>1328</v>
      </c>
      <c r="D45" s="983" t="s">
        <v>1253</v>
      </c>
      <c r="E45" s="982" t="s">
        <v>1161</v>
      </c>
      <c r="F45" s="949">
        <f t="shared" ref="F45:F46" si="4">G45*11</f>
        <v>52448</v>
      </c>
      <c r="G45" s="949">
        <v>4768</v>
      </c>
      <c r="H45" s="983" t="s">
        <v>1257</v>
      </c>
      <c r="I45" s="986">
        <v>44197</v>
      </c>
      <c r="J45" s="987">
        <v>44561</v>
      </c>
    </row>
    <row r="46" spans="1:12" s="1001" customFormat="1" ht="120" customHeight="1" x14ac:dyDescent="0.2">
      <c r="A46" s="999"/>
      <c r="B46" s="985" t="s">
        <v>1329</v>
      </c>
      <c r="C46" s="982" t="s">
        <v>1330</v>
      </c>
      <c r="D46" s="983" t="s">
        <v>1253</v>
      </c>
      <c r="E46" s="982" t="s">
        <v>1161</v>
      </c>
      <c r="F46" s="949">
        <f t="shared" si="4"/>
        <v>52448</v>
      </c>
      <c r="G46" s="949">
        <v>4768</v>
      </c>
      <c r="H46" s="983" t="s">
        <v>1257</v>
      </c>
      <c r="I46" s="990">
        <v>44229</v>
      </c>
      <c r="J46" s="989">
        <v>44561</v>
      </c>
    </row>
    <row r="47" spans="1:12" s="1001" customFormat="1" ht="120" customHeight="1" x14ac:dyDescent="0.2">
      <c r="A47" s="999"/>
      <c r="B47" s="985" t="s">
        <v>1331</v>
      </c>
      <c r="C47" s="984" t="s">
        <v>1332</v>
      </c>
      <c r="D47" s="983" t="s">
        <v>1253</v>
      </c>
      <c r="E47" s="982" t="s">
        <v>1161</v>
      </c>
      <c r="F47" s="949">
        <f>G47*11</f>
        <v>45848</v>
      </c>
      <c r="G47" s="949">
        <v>4168</v>
      </c>
      <c r="H47" s="983" t="s">
        <v>1266</v>
      </c>
      <c r="I47" s="990">
        <v>44229</v>
      </c>
      <c r="J47" s="989">
        <v>44561</v>
      </c>
    </row>
    <row r="48" spans="1:12" s="1001" customFormat="1" ht="120" customHeight="1" thickBot="1" x14ac:dyDescent="0.25">
      <c r="A48" s="832"/>
      <c r="B48" s="981" t="s">
        <v>1333</v>
      </c>
      <c r="C48" s="980" t="s">
        <v>1332</v>
      </c>
      <c r="D48" s="979" t="s">
        <v>1253</v>
      </c>
      <c r="E48" s="978" t="s">
        <v>1161</v>
      </c>
      <c r="F48" s="948">
        <f>G48*11</f>
        <v>45848</v>
      </c>
      <c r="G48" s="948">
        <v>4168</v>
      </c>
      <c r="H48" s="979" t="s">
        <v>1266</v>
      </c>
      <c r="I48" s="961">
        <v>44229</v>
      </c>
      <c r="J48" s="960">
        <v>44561</v>
      </c>
    </row>
    <row r="49" spans="1:10" x14ac:dyDescent="0.2">
      <c r="A49" s="79"/>
      <c r="B49" s="79"/>
      <c r="C49" s="79"/>
      <c r="D49" s="79"/>
      <c r="E49" s="79"/>
      <c r="F49" s="79"/>
      <c r="G49" s="79"/>
      <c r="H49" s="79"/>
      <c r="I49" s="79"/>
      <c r="J49" s="79"/>
    </row>
    <row r="50" spans="1:10" ht="13.5" thickBot="1" x14ac:dyDescent="0.25">
      <c r="A50" s="464" t="s">
        <v>341</v>
      </c>
      <c r="B50" s="464"/>
      <c r="C50" s="464"/>
      <c r="D50" s="464"/>
      <c r="E50" s="464"/>
      <c r="F50" s="464"/>
      <c r="G50" s="464"/>
      <c r="H50" s="464"/>
      <c r="I50" s="464"/>
      <c r="J50" s="464"/>
    </row>
    <row r="51" spans="1:10" ht="39" thickBot="1" x14ac:dyDescent="0.25">
      <c r="A51" s="600" t="s">
        <v>386</v>
      </c>
      <c r="B51" s="600" t="s">
        <v>354</v>
      </c>
      <c r="C51" s="600" t="s">
        <v>94</v>
      </c>
      <c r="D51" s="600" t="s">
        <v>410</v>
      </c>
      <c r="E51" s="600" t="s">
        <v>370</v>
      </c>
      <c r="F51" s="600" t="s">
        <v>469</v>
      </c>
      <c r="G51" s="600" t="s">
        <v>339</v>
      </c>
      <c r="H51" s="600" t="s">
        <v>219</v>
      </c>
      <c r="I51" s="600" t="s">
        <v>340</v>
      </c>
      <c r="J51" s="600" t="s">
        <v>298</v>
      </c>
    </row>
    <row r="52" spans="1:10" ht="22.5" customHeight="1" x14ac:dyDescent="0.2">
      <c r="A52" s="63"/>
      <c r="B52" s="63"/>
      <c r="C52" s="63"/>
      <c r="D52" s="63"/>
      <c r="E52" s="63"/>
      <c r="F52" s="465"/>
      <c r="G52" s="63"/>
      <c r="H52" s="63"/>
      <c r="I52" s="63"/>
      <c r="J52" s="63"/>
    </row>
    <row r="53" spans="1:10" ht="22.5" customHeight="1" thickBot="1" x14ac:dyDescent="0.25">
      <c r="A53" s="65"/>
      <c r="B53" s="65"/>
      <c r="C53" s="65"/>
      <c r="D53" s="65"/>
      <c r="E53" s="65"/>
      <c r="F53" s="466"/>
      <c r="G53" s="65"/>
      <c r="H53" s="65"/>
      <c r="I53" s="65"/>
      <c r="J53" s="65"/>
    </row>
    <row r="54" spans="1:10" ht="13.5" thickBot="1" x14ac:dyDescent="0.25">
      <c r="A54" s="1812" t="s">
        <v>217</v>
      </c>
      <c r="B54" s="1813"/>
      <c r="C54" s="547"/>
      <c r="D54" s="528"/>
      <c r="E54" s="528"/>
      <c r="F54" s="601">
        <f>SUM(F52:F53)</f>
        <v>0</v>
      </c>
      <c r="G54" s="468"/>
      <c r="H54" s="467"/>
      <c r="I54" s="467"/>
      <c r="J54" s="467"/>
    </row>
    <row r="55" spans="1:10" x14ac:dyDescent="0.2">
      <c r="A55" s="79"/>
      <c r="B55" s="79"/>
      <c r="C55" s="79"/>
      <c r="D55" s="79"/>
      <c r="E55" s="79"/>
      <c r="F55" s="79"/>
      <c r="G55" s="79"/>
      <c r="H55" s="79"/>
      <c r="I55" s="79"/>
      <c r="J55" s="79"/>
    </row>
    <row r="56" spans="1:10" x14ac:dyDescent="0.2">
      <c r="A56" s="1811" t="s">
        <v>91</v>
      </c>
      <c r="B56" s="1811"/>
      <c r="C56" s="561"/>
      <c r="D56" s="1811" t="s">
        <v>11</v>
      </c>
      <c r="E56" s="1811"/>
      <c r="F56" s="1811" t="s">
        <v>12</v>
      </c>
      <c r="G56" s="1811"/>
      <c r="H56" s="1811"/>
      <c r="I56" s="1811" t="s">
        <v>384</v>
      </c>
      <c r="J56" s="1811"/>
    </row>
    <row r="57" spans="1:10" ht="36" customHeight="1" x14ac:dyDescent="0.2">
      <c r="A57" s="1807" t="s">
        <v>29</v>
      </c>
      <c r="B57" s="1807"/>
      <c r="C57" s="548"/>
      <c r="D57" s="1807" t="s">
        <v>1178</v>
      </c>
      <c r="E57" s="1807"/>
      <c r="F57" s="1807" t="s">
        <v>1179</v>
      </c>
      <c r="G57" s="1807"/>
      <c r="H57" s="1807"/>
      <c r="I57" s="1807"/>
      <c r="J57" s="1807"/>
    </row>
    <row r="58" spans="1:10" ht="36" customHeight="1" x14ac:dyDescent="0.2">
      <c r="A58" s="1807" t="s">
        <v>291</v>
      </c>
      <c r="B58" s="1807"/>
      <c r="C58" s="548"/>
      <c r="D58" s="1807" t="s">
        <v>1180</v>
      </c>
      <c r="E58" s="1807"/>
      <c r="F58" s="1807" t="s">
        <v>1181</v>
      </c>
      <c r="G58" s="1807"/>
      <c r="H58" s="1807"/>
      <c r="I58" s="1807"/>
      <c r="J58" s="1807"/>
    </row>
    <row r="59" spans="1:10" ht="36" customHeight="1" x14ac:dyDescent="0.2">
      <c r="A59" s="1807" t="s">
        <v>289</v>
      </c>
      <c r="B59" s="1807"/>
      <c r="C59" s="548"/>
      <c r="D59" s="1807" t="s">
        <v>1109</v>
      </c>
      <c r="E59" s="1807"/>
      <c r="F59" s="1808" t="s">
        <v>1110</v>
      </c>
      <c r="G59" s="1809"/>
      <c r="H59" s="1810"/>
      <c r="I59" s="1807"/>
      <c r="J59" s="1807"/>
    </row>
  </sheetData>
  <mergeCells count="19">
    <mergeCell ref="A54:B54"/>
    <mergeCell ref="A1:J1"/>
    <mergeCell ref="I2:J2"/>
    <mergeCell ref="A56:B56"/>
    <mergeCell ref="F56:H56"/>
    <mergeCell ref="A57:B57"/>
    <mergeCell ref="A58:B58"/>
    <mergeCell ref="A59:B59"/>
    <mergeCell ref="D56:E56"/>
    <mergeCell ref="D57:E57"/>
    <mergeCell ref="D58:E58"/>
    <mergeCell ref="D59:E59"/>
    <mergeCell ref="F57:H57"/>
    <mergeCell ref="F58:H58"/>
    <mergeCell ref="F59:H59"/>
    <mergeCell ref="I56:J56"/>
    <mergeCell ref="I57:J57"/>
    <mergeCell ref="I58:J58"/>
    <mergeCell ref="I59:J59"/>
  </mergeCells>
  <phoneticPr fontId="25" type="noConversion"/>
  <printOptions horizontalCentered="1"/>
  <pageMargins left="0.94" right="0.19685039370078741" top="1.1023622047244095" bottom="0.43307086614173229" header="0.70866141732283472" footer="0.23622047244094491"/>
  <pageSetup scale="67" fitToHeight="0" orientation="landscape" r:id="rId1"/>
  <headerFooter>
    <oddHeader>&amp;L&amp;"Arial Narrow,Negrita Cursiva"   Gobierno Autónomo Departamental de La Paz&amp;C&amp;"Arial,Negrita"&amp;14FORMULARIO 5 (A) DE
INFORMACIÓN SOBRE CONSULTORÍAS&amp;R&amp;"Arial,Negrita Cursiva"Plan Operativo Anual  2021</oddHeader>
    <oddFooter>&amp;C&amp;P/&amp;N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T405"/>
  <sheetViews>
    <sheetView view="pageLayout" topLeftCell="A280" zoomScaleNormal="140" zoomScaleSheetLayoutView="115" workbookViewId="0">
      <selection activeCell="R279" sqref="R279"/>
    </sheetView>
  </sheetViews>
  <sheetFormatPr baseColWidth="10" defaultRowHeight="12.75" x14ac:dyDescent="0.2"/>
  <cols>
    <col min="1" max="1" width="9.7109375" style="8" customWidth="1"/>
    <col min="2" max="2" width="23.7109375" style="8" customWidth="1"/>
    <col min="3" max="3" width="8.140625" style="8" customWidth="1"/>
    <col min="4" max="4" width="8.7109375" style="17" customWidth="1"/>
    <col min="5" max="5" width="8.140625" style="13" customWidth="1"/>
    <col min="6" max="17" width="3.42578125" style="15" customWidth="1"/>
    <col min="18" max="18" width="9.140625" style="8" customWidth="1"/>
    <col min="19" max="16384" width="11.42578125" style="5"/>
  </cols>
  <sheetData>
    <row r="1" spans="1:18" ht="15.75" x14ac:dyDescent="0.2">
      <c r="A1" s="1815" t="str">
        <f>'FORM-1'!A1:D1</f>
        <v>SECRETARÍA O SERVICIO DEPARTAMENTAL DE GESTION SOCIAL</v>
      </c>
      <c r="B1" s="1815"/>
      <c r="C1" s="1815"/>
      <c r="D1" s="1815"/>
      <c r="E1" s="1815"/>
      <c r="F1" s="1815"/>
      <c r="G1" s="1815"/>
      <c r="H1" s="1815"/>
      <c r="I1" s="1815"/>
      <c r="J1" s="1815"/>
      <c r="K1" s="1815"/>
      <c r="L1" s="1815"/>
      <c r="M1" s="1815"/>
      <c r="N1" s="1815"/>
      <c r="O1" s="1815"/>
      <c r="P1" s="1815"/>
      <c r="Q1" s="1815"/>
      <c r="R1" s="1815"/>
    </row>
    <row r="2" spans="1:18" ht="13.5" thickBot="1" x14ac:dyDescent="0.25">
      <c r="A2" s="82"/>
      <c r="B2" s="83"/>
      <c r="C2" s="84"/>
      <c r="D2" s="85"/>
      <c r="E2" s="84"/>
      <c r="F2" s="86"/>
      <c r="G2" s="86"/>
      <c r="H2" s="86"/>
      <c r="I2" s="86"/>
      <c r="J2" s="86"/>
      <c r="K2" s="86"/>
      <c r="L2" s="86"/>
      <c r="M2" s="86"/>
      <c r="N2" s="86"/>
      <c r="O2" s="87"/>
      <c r="P2" s="87"/>
      <c r="Q2" s="1814" t="str">
        <f>'FORM-1'!D2</f>
        <v>Fecha: 05/08/2020</v>
      </c>
      <c r="R2" s="1814"/>
    </row>
    <row r="3" spans="1:18" ht="12.75" customHeight="1" thickBot="1" x14ac:dyDescent="0.25">
      <c r="A3" s="1849" t="s">
        <v>304</v>
      </c>
      <c r="B3" s="1850"/>
      <c r="C3" s="1850"/>
      <c r="D3" s="1850"/>
      <c r="E3" s="1850"/>
      <c r="F3" s="1850"/>
      <c r="G3" s="1850"/>
      <c r="H3" s="1850"/>
      <c r="I3" s="1850"/>
      <c r="J3" s="1850"/>
      <c r="K3" s="1850"/>
      <c r="L3" s="1850"/>
      <c r="M3" s="1850"/>
      <c r="N3" s="1850"/>
      <c r="O3" s="1850"/>
      <c r="P3" s="1850"/>
      <c r="Q3" s="1850"/>
      <c r="R3" s="1851"/>
    </row>
    <row r="4" spans="1:18" x14ac:dyDescent="0.2">
      <c r="A4" s="562" t="s">
        <v>30</v>
      </c>
      <c r="B4" s="563" t="s">
        <v>31</v>
      </c>
      <c r="C4" s="564" t="s">
        <v>2</v>
      </c>
      <c r="D4" s="564" t="s">
        <v>32</v>
      </c>
      <c r="E4" s="565" t="s">
        <v>33</v>
      </c>
      <c r="F4" s="1846" t="s">
        <v>97</v>
      </c>
      <c r="G4" s="1847"/>
      <c r="H4" s="1847"/>
      <c r="I4" s="1847"/>
      <c r="J4" s="1847"/>
      <c r="K4" s="1847"/>
      <c r="L4" s="1847"/>
      <c r="M4" s="1847"/>
      <c r="N4" s="1847"/>
      <c r="O4" s="1847"/>
      <c r="P4" s="1847"/>
      <c r="Q4" s="1848"/>
      <c r="R4" s="566" t="s">
        <v>34</v>
      </c>
    </row>
    <row r="5" spans="1:18" x14ac:dyDescent="0.2">
      <c r="A5" s="562" t="s">
        <v>35</v>
      </c>
      <c r="B5" s="567" t="s">
        <v>36</v>
      </c>
      <c r="C5" s="564" t="s">
        <v>37</v>
      </c>
      <c r="D5" s="564" t="s">
        <v>38</v>
      </c>
      <c r="E5" s="565" t="s">
        <v>39</v>
      </c>
      <c r="F5" s="1838" t="s">
        <v>108</v>
      </c>
      <c r="G5" s="1838" t="s">
        <v>107</v>
      </c>
      <c r="H5" s="1838" t="s">
        <v>106</v>
      </c>
      <c r="I5" s="1838" t="s">
        <v>105</v>
      </c>
      <c r="J5" s="1838" t="s">
        <v>104</v>
      </c>
      <c r="K5" s="1838" t="s">
        <v>103</v>
      </c>
      <c r="L5" s="1838" t="s">
        <v>102</v>
      </c>
      <c r="M5" s="1838" t="s">
        <v>101</v>
      </c>
      <c r="N5" s="1838" t="s">
        <v>100</v>
      </c>
      <c r="O5" s="1838" t="s">
        <v>4</v>
      </c>
      <c r="P5" s="1838" t="s">
        <v>98</v>
      </c>
      <c r="Q5" s="1838" t="s">
        <v>99</v>
      </c>
      <c r="R5" s="566" t="s">
        <v>40</v>
      </c>
    </row>
    <row r="6" spans="1:18" ht="13.5" thickBot="1" x14ac:dyDescent="0.25">
      <c r="A6" s="568"/>
      <c r="B6" s="569" t="s">
        <v>41</v>
      </c>
      <c r="C6" s="570"/>
      <c r="D6" s="570" t="s">
        <v>42</v>
      </c>
      <c r="E6" s="571"/>
      <c r="F6" s="1839"/>
      <c r="G6" s="1839"/>
      <c r="H6" s="1839"/>
      <c r="I6" s="1839"/>
      <c r="J6" s="1839"/>
      <c r="K6" s="1839"/>
      <c r="L6" s="1839"/>
      <c r="M6" s="1839"/>
      <c r="N6" s="1839"/>
      <c r="O6" s="1839"/>
      <c r="P6" s="1839"/>
      <c r="Q6" s="1839"/>
      <c r="R6" s="572" t="s">
        <v>42</v>
      </c>
    </row>
    <row r="7" spans="1:18" ht="9.75" customHeight="1" thickTop="1" thickBot="1" x14ac:dyDescent="0.25">
      <c r="A7" s="585">
        <v>20000</v>
      </c>
      <c r="B7" s="586" t="s">
        <v>43</v>
      </c>
      <c r="C7" s="587"/>
      <c r="D7" s="588"/>
      <c r="E7" s="589"/>
      <c r="F7" s="590"/>
      <c r="G7" s="590"/>
      <c r="H7" s="590"/>
      <c r="I7" s="590"/>
      <c r="J7" s="590"/>
      <c r="K7" s="590"/>
      <c r="L7" s="590"/>
      <c r="M7" s="590"/>
      <c r="N7" s="590"/>
      <c r="O7" s="590"/>
      <c r="P7" s="590"/>
      <c r="Q7" s="590"/>
      <c r="R7" s="591">
        <f>R8+R88+R92+R101+R131</f>
        <v>0</v>
      </c>
    </row>
    <row r="8" spans="1:18" ht="11.25" customHeight="1" x14ac:dyDescent="0.2">
      <c r="A8" s="88">
        <v>22000</v>
      </c>
      <c r="B8" s="89" t="s">
        <v>44</v>
      </c>
      <c r="C8" s="90"/>
      <c r="D8" s="91"/>
      <c r="E8" s="92"/>
      <c r="F8" s="93"/>
      <c r="G8" s="93"/>
      <c r="H8" s="93"/>
      <c r="I8" s="93"/>
      <c r="J8" s="93"/>
      <c r="K8" s="93"/>
      <c r="L8" s="93"/>
      <c r="M8" s="93"/>
      <c r="N8" s="93"/>
      <c r="O8" s="93"/>
      <c r="P8" s="93"/>
      <c r="Q8" s="93"/>
      <c r="R8" s="94">
        <f>R9+R45+R75+R80+R85</f>
        <v>0</v>
      </c>
    </row>
    <row r="9" spans="1:18" ht="11.25" customHeight="1" x14ac:dyDescent="0.2">
      <c r="A9" s="95">
        <v>22100</v>
      </c>
      <c r="B9" s="96" t="s">
        <v>117</v>
      </c>
      <c r="C9" s="97"/>
      <c r="D9" s="98"/>
      <c r="E9" s="99"/>
      <c r="F9" s="100"/>
      <c r="G9" s="100"/>
      <c r="H9" s="100"/>
      <c r="I9" s="100"/>
      <c r="J9" s="100"/>
      <c r="K9" s="100"/>
      <c r="L9" s="100"/>
      <c r="M9" s="100"/>
      <c r="N9" s="100"/>
      <c r="O9" s="100"/>
      <c r="P9" s="100"/>
      <c r="Q9" s="100"/>
      <c r="R9" s="101">
        <f>SUM(R10+R20)</f>
        <v>0</v>
      </c>
    </row>
    <row r="10" spans="1:18" ht="11.25" customHeight="1" x14ac:dyDescent="0.2">
      <c r="A10" s="102">
        <v>22110</v>
      </c>
      <c r="B10" s="103" t="s">
        <v>117</v>
      </c>
      <c r="C10" s="104"/>
      <c r="D10" s="105"/>
      <c r="E10" s="106"/>
      <c r="F10" s="107"/>
      <c r="G10" s="107"/>
      <c r="H10" s="107"/>
      <c r="I10" s="107"/>
      <c r="J10" s="107"/>
      <c r="K10" s="107"/>
      <c r="L10" s="107"/>
      <c r="M10" s="107"/>
      <c r="N10" s="107"/>
      <c r="O10" s="107"/>
      <c r="P10" s="107"/>
      <c r="Q10" s="107"/>
      <c r="R10" s="108">
        <f>SUM(R11:R19)</f>
        <v>0</v>
      </c>
    </row>
    <row r="11" spans="1:18" ht="11.25" customHeight="1" x14ac:dyDescent="0.2">
      <c r="A11" s="109"/>
      <c r="B11" s="110" t="s">
        <v>46</v>
      </c>
      <c r="C11" s="111" t="s">
        <v>45</v>
      </c>
      <c r="D11" s="112"/>
      <c r="E11" s="113"/>
      <c r="F11" s="114"/>
      <c r="G11" s="114"/>
      <c r="H11" s="114"/>
      <c r="I11" s="114"/>
      <c r="J11" s="114"/>
      <c r="K11" s="114"/>
      <c r="L11" s="114"/>
      <c r="M11" s="114"/>
      <c r="N11" s="114"/>
      <c r="O11" s="114"/>
      <c r="P11" s="114"/>
      <c r="Q11" s="114"/>
      <c r="R11" s="115">
        <f t="shared" ref="R11:R19" si="0">+E11*$D11</f>
        <v>0</v>
      </c>
    </row>
    <row r="12" spans="1:18" ht="11.25" customHeight="1" x14ac:dyDescent="0.2">
      <c r="A12" s="109"/>
      <c r="B12" s="116" t="s">
        <v>47</v>
      </c>
      <c r="C12" s="117" t="s">
        <v>45</v>
      </c>
      <c r="D12" s="118"/>
      <c r="E12" s="119"/>
      <c r="F12" s="114"/>
      <c r="G12" s="114"/>
      <c r="H12" s="114"/>
      <c r="I12" s="114"/>
      <c r="J12" s="114"/>
      <c r="K12" s="114"/>
      <c r="L12" s="114"/>
      <c r="M12" s="114"/>
      <c r="N12" s="114"/>
      <c r="O12" s="114"/>
      <c r="P12" s="114"/>
      <c r="Q12" s="114"/>
      <c r="R12" s="115">
        <f t="shared" si="0"/>
        <v>0</v>
      </c>
    </row>
    <row r="13" spans="1:18" ht="11.25" customHeight="1" x14ac:dyDescent="0.2">
      <c r="A13" s="109"/>
      <c r="B13" s="116" t="s">
        <v>48</v>
      </c>
      <c r="C13" s="117" t="s">
        <v>45</v>
      </c>
      <c r="D13" s="118"/>
      <c r="E13" s="119"/>
      <c r="F13" s="114"/>
      <c r="G13" s="114"/>
      <c r="H13" s="114"/>
      <c r="I13" s="114"/>
      <c r="J13" s="114"/>
      <c r="K13" s="114"/>
      <c r="L13" s="114"/>
      <c r="M13" s="114"/>
      <c r="N13" s="114"/>
      <c r="O13" s="114"/>
      <c r="P13" s="114"/>
      <c r="Q13" s="114"/>
      <c r="R13" s="115">
        <f t="shared" si="0"/>
        <v>0</v>
      </c>
    </row>
    <row r="14" spans="1:18" ht="11.25" customHeight="1" x14ac:dyDescent="0.2">
      <c r="A14" s="109"/>
      <c r="B14" s="110" t="s">
        <v>49</v>
      </c>
      <c r="C14" s="111" t="s">
        <v>45</v>
      </c>
      <c r="D14" s="112"/>
      <c r="E14" s="113"/>
      <c r="F14" s="114"/>
      <c r="G14" s="114"/>
      <c r="H14" s="114"/>
      <c r="I14" s="114"/>
      <c r="J14" s="114"/>
      <c r="K14" s="114"/>
      <c r="L14" s="114"/>
      <c r="M14" s="114"/>
      <c r="N14" s="114"/>
      <c r="O14" s="114"/>
      <c r="P14" s="114"/>
      <c r="Q14" s="114"/>
      <c r="R14" s="115">
        <f t="shared" si="0"/>
        <v>0</v>
      </c>
    </row>
    <row r="15" spans="1:18" ht="11.25" customHeight="1" x14ac:dyDescent="0.2">
      <c r="A15" s="109"/>
      <c r="B15" s="110" t="s">
        <v>50</v>
      </c>
      <c r="C15" s="111" t="s">
        <v>45</v>
      </c>
      <c r="D15" s="112"/>
      <c r="E15" s="113"/>
      <c r="F15" s="114"/>
      <c r="G15" s="114"/>
      <c r="H15" s="114"/>
      <c r="I15" s="114"/>
      <c r="J15" s="114"/>
      <c r="K15" s="114"/>
      <c r="L15" s="114"/>
      <c r="M15" s="114"/>
      <c r="N15" s="114"/>
      <c r="O15" s="114"/>
      <c r="P15" s="114"/>
      <c r="Q15" s="114"/>
      <c r="R15" s="115">
        <f t="shared" si="0"/>
        <v>0</v>
      </c>
    </row>
    <row r="16" spans="1:18" ht="11.25" customHeight="1" x14ac:dyDescent="0.2">
      <c r="A16" s="109"/>
      <c r="B16" s="110" t="s">
        <v>51</v>
      </c>
      <c r="C16" s="111" t="s">
        <v>45</v>
      </c>
      <c r="D16" s="112"/>
      <c r="E16" s="113"/>
      <c r="F16" s="114"/>
      <c r="G16" s="114"/>
      <c r="H16" s="114"/>
      <c r="I16" s="114"/>
      <c r="J16" s="114"/>
      <c r="K16" s="114"/>
      <c r="L16" s="114"/>
      <c r="M16" s="114"/>
      <c r="N16" s="114"/>
      <c r="O16" s="114"/>
      <c r="P16" s="114"/>
      <c r="Q16" s="114"/>
      <c r="R16" s="115">
        <f t="shared" si="0"/>
        <v>0</v>
      </c>
    </row>
    <row r="17" spans="1:18" ht="11.25" customHeight="1" x14ac:dyDescent="0.2">
      <c r="A17" s="109"/>
      <c r="B17" s="110" t="s">
        <v>52</v>
      </c>
      <c r="C17" s="111" t="s">
        <v>45</v>
      </c>
      <c r="D17" s="112"/>
      <c r="E17" s="113"/>
      <c r="F17" s="114"/>
      <c r="G17" s="114"/>
      <c r="H17" s="114"/>
      <c r="I17" s="114"/>
      <c r="J17" s="114"/>
      <c r="K17" s="114"/>
      <c r="L17" s="114"/>
      <c r="M17" s="114"/>
      <c r="N17" s="114"/>
      <c r="O17" s="114"/>
      <c r="P17" s="114"/>
      <c r="Q17" s="114"/>
      <c r="R17" s="115">
        <f t="shared" si="0"/>
        <v>0</v>
      </c>
    </row>
    <row r="18" spans="1:18" ht="11.25" customHeight="1" x14ac:dyDescent="0.2">
      <c r="A18" s="109"/>
      <c r="B18" s="110" t="s">
        <v>53</v>
      </c>
      <c r="C18" s="111" t="s">
        <v>45</v>
      </c>
      <c r="D18" s="112"/>
      <c r="E18" s="113"/>
      <c r="F18" s="114"/>
      <c r="G18" s="114"/>
      <c r="H18" s="114"/>
      <c r="I18" s="114"/>
      <c r="J18" s="114"/>
      <c r="K18" s="114"/>
      <c r="L18" s="114"/>
      <c r="M18" s="114"/>
      <c r="N18" s="114"/>
      <c r="O18" s="114"/>
      <c r="P18" s="114"/>
      <c r="Q18" s="114"/>
      <c r="R18" s="115">
        <f t="shared" si="0"/>
        <v>0</v>
      </c>
    </row>
    <row r="19" spans="1:18" ht="11.25" customHeight="1" x14ac:dyDescent="0.2">
      <c r="A19" s="109"/>
      <c r="B19" s="120" t="s">
        <v>305</v>
      </c>
      <c r="C19" s="111" t="s">
        <v>45</v>
      </c>
      <c r="D19" s="121"/>
      <c r="E19" s="113"/>
      <c r="F19" s="114"/>
      <c r="G19" s="114"/>
      <c r="H19" s="114"/>
      <c r="I19" s="114"/>
      <c r="J19" s="114"/>
      <c r="K19" s="114"/>
      <c r="L19" s="114"/>
      <c r="M19" s="114"/>
      <c r="N19" s="114"/>
      <c r="O19" s="114"/>
      <c r="P19" s="114"/>
      <c r="Q19" s="114"/>
      <c r="R19" s="115">
        <f t="shared" si="0"/>
        <v>0</v>
      </c>
    </row>
    <row r="20" spans="1:18" ht="11.25" customHeight="1" x14ac:dyDescent="0.2">
      <c r="A20" s="122">
        <v>22120</v>
      </c>
      <c r="B20" s="123" t="s">
        <v>118</v>
      </c>
      <c r="C20" s="124"/>
      <c r="D20" s="125"/>
      <c r="E20" s="126"/>
      <c r="F20" s="127"/>
      <c r="G20" s="127"/>
      <c r="H20" s="127"/>
      <c r="I20" s="127"/>
      <c r="J20" s="127"/>
      <c r="K20" s="127"/>
      <c r="L20" s="127"/>
      <c r="M20" s="127"/>
      <c r="N20" s="127"/>
      <c r="O20" s="127"/>
      <c r="P20" s="127"/>
      <c r="Q20" s="127"/>
      <c r="R20" s="128">
        <f>SUM(R21:R44)</f>
        <v>0</v>
      </c>
    </row>
    <row r="21" spans="1:18" ht="11.25" customHeight="1" x14ac:dyDescent="0.2">
      <c r="A21" s="109"/>
      <c r="B21" s="129" t="s">
        <v>220</v>
      </c>
      <c r="C21" s="111"/>
      <c r="D21" s="130"/>
      <c r="E21" s="113"/>
      <c r="F21" s="114"/>
      <c r="G21" s="114"/>
      <c r="H21" s="114"/>
      <c r="I21" s="114"/>
      <c r="J21" s="114"/>
      <c r="K21" s="114"/>
      <c r="L21" s="114"/>
      <c r="M21" s="114"/>
      <c r="N21" s="114"/>
      <c r="O21" s="114"/>
      <c r="P21" s="114"/>
      <c r="Q21" s="114"/>
      <c r="R21" s="115"/>
    </row>
    <row r="22" spans="1:18" ht="11.25" customHeight="1" x14ac:dyDescent="0.2">
      <c r="A22" s="109"/>
      <c r="B22" s="120" t="s">
        <v>221</v>
      </c>
      <c r="C22" s="111" t="s">
        <v>45</v>
      </c>
      <c r="D22" s="130"/>
      <c r="E22" s="113"/>
      <c r="F22" s="114"/>
      <c r="G22" s="114"/>
      <c r="H22" s="114"/>
      <c r="I22" s="114"/>
      <c r="J22" s="114"/>
      <c r="K22" s="114"/>
      <c r="L22" s="114"/>
      <c r="M22" s="114"/>
      <c r="N22" s="114"/>
      <c r="O22" s="114"/>
      <c r="P22" s="114"/>
      <c r="Q22" s="114"/>
      <c r="R22" s="115">
        <f t="shared" ref="R22:R30" si="1">+E22*$D22</f>
        <v>0</v>
      </c>
    </row>
    <row r="23" spans="1:18" ht="11.25" customHeight="1" x14ac:dyDescent="0.2">
      <c r="A23" s="109"/>
      <c r="B23" s="120" t="s">
        <v>222</v>
      </c>
      <c r="C23" s="111" t="s">
        <v>45</v>
      </c>
      <c r="D23" s="130"/>
      <c r="E23" s="113"/>
      <c r="F23" s="114"/>
      <c r="G23" s="114"/>
      <c r="H23" s="114"/>
      <c r="I23" s="114"/>
      <c r="J23" s="114"/>
      <c r="K23" s="114"/>
      <c r="L23" s="114"/>
      <c r="M23" s="114"/>
      <c r="N23" s="114"/>
      <c r="O23" s="114"/>
      <c r="P23" s="114"/>
      <c r="Q23" s="114"/>
      <c r="R23" s="115">
        <f t="shared" si="1"/>
        <v>0</v>
      </c>
    </row>
    <row r="24" spans="1:18" ht="11.25" customHeight="1" x14ac:dyDescent="0.2">
      <c r="A24" s="109"/>
      <c r="B24" s="120" t="s">
        <v>223</v>
      </c>
      <c r="C24" s="111" t="s">
        <v>45</v>
      </c>
      <c r="D24" s="130"/>
      <c r="E24" s="113"/>
      <c r="F24" s="114"/>
      <c r="G24" s="114"/>
      <c r="H24" s="114"/>
      <c r="I24" s="114"/>
      <c r="J24" s="114"/>
      <c r="K24" s="114"/>
      <c r="L24" s="114"/>
      <c r="M24" s="114"/>
      <c r="N24" s="114"/>
      <c r="O24" s="114"/>
      <c r="P24" s="114"/>
      <c r="Q24" s="114"/>
      <c r="R24" s="115">
        <f t="shared" si="1"/>
        <v>0</v>
      </c>
    </row>
    <row r="25" spans="1:18" ht="11.25" customHeight="1" x14ac:dyDescent="0.2">
      <c r="A25" s="109"/>
      <c r="B25" s="120" t="s">
        <v>224</v>
      </c>
      <c r="C25" s="111" t="s">
        <v>45</v>
      </c>
      <c r="D25" s="130"/>
      <c r="E25" s="113"/>
      <c r="F25" s="114"/>
      <c r="G25" s="114"/>
      <c r="H25" s="114"/>
      <c r="I25" s="114"/>
      <c r="J25" s="114"/>
      <c r="K25" s="114"/>
      <c r="L25" s="114"/>
      <c r="M25" s="114"/>
      <c r="N25" s="114"/>
      <c r="O25" s="114"/>
      <c r="P25" s="114"/>
      <c r="Q25" s="114"/>
      <c r="R25" s="115">
        <f t="shared" si="1"/>
        <v>0</v>
      </c>
    </row>
    <row r="26" spans="1:18" ht="11.25" customHeight="1" x14ac:dyDescent="0.2">
      <c r="A26" s="109"/>
      <c r="B26" s="120" t="s">
        <v>225</v>
      </c>
      <c r="C26" s="111" t="s">
        <v>45</v>
      </c>
      <c r="D26" s="130"/>
      <c r="E26" s="113"/>
      <c r="F26" s="114"/>
      <c r="G26" s="114"/>
      <c r="H26" s="114"/>
      <c r="I26" s="114"/>
      <c r="J26" s="114"/>
      <c r="K26" s="114"/>
      <c r="L26" s="114"/>
      <c r="M26" s="114"/>
      <c r="N26" s="114"/>
      <c r="O26" s="114"/>
      <c r="P26" s="114"/>
      <c r="Q26" s="114"/>
      <c r="R26" s="115">
        <f t="shared" si="1"/>
        <v>0</v>
      </c>
    </row>
    <row r="27" spans="1:18" ht="11.25" customHeight="1" x14ac:dyDescent="0.2">
      <c r="A27" s="109"/>
      <c r="B27" s="120" t="s">
        <v>226</v>
      </c>
      <c r="C27" s="111" t="s">
        <v>45</v>
      </c>
      <c r="D27" s="130"/>
      <c r="E27" s="113"/>
      <c r="F27" s="114"/>
      <c r="G27" s="114"/>
      <c r="H27" s="114"/>
      <c r="I27" s="114"/>
      <c r="J27" s="114"/>
      <c r="K27" s="114"/>
      <c r="L27" s="114"/>
      <c r="M27" s="114"/>
      <c r="N27" s="114"/>
      <c r="O27" s="114"/>
      <c r="P27" s="114"/>
      <c r="Q27" s="114"/>
      <c r="R27" s="115">
        <f t="shared" si="1"/>
        <v>0</v>
      </c>
    </row>
    <row r="28" spans="1:18" ht="11.25" customHeight="1" x14ac:dyDescent="0.2">
      <c r="A28" s="109"/>
      <c r="B28" s="120" t="s">
        <v>227</v>
      </c>
      <c r="C28" s="111" t="s">
        <v>45</v>
      </c>
      <c r="D28" s="130"/>
      <c r="E28" s="113"/>
      <c r="F28" s="114"/>
      <c r="G28" s="114"/>
      <c r="H28" s="114"/>
      <c r="I28" s="114"/>
      <c r="J28" s="114"/>
      <c r="K28" s="114"/>
      <c r="L28" s="114"/>
      <c r="M28" s="114"/>
      <c r="N28" s="114"/>
      <c r="O28" s="114"/>
      <c r="P28" s="114"/>
      <c r="Q28" s="114"/>
      <c r="R28" s="115">
        <f t="shared" si="1"/>
        <v>0</v>
      </c>
    </row>
    <row r="29" spans="1:18" ht="11.25" customHeight="1" x14ac:dyDescent="0.2">
      <c r="A29" s="109"/>
      <c r="B29" s="120" t="s">
        <v>228</v>
      </c>
      <c r="C29" s="111" t="s">
        <v>45</v>
      </c>
      <c r="D29" s="130"/>
      <c r="E29" s="113"/>
      <c r="F29" s="114"/>
      <c r="G29" s="114"/>
      <c r="H29" s="114"/>
      <c r="I29" s="114"/>
      <c r="J29" s="114"/>
      <c r="K29" s="114"/>
      <c r="L29" s="114"/>
      <c r="M29" s="114"/>
      <c r="N29" s="114"/>
      <c r="O29" s="114"/>
      <c r="P29" s="114"/>
      <c r="Q29" s="114"/>
      <c r="R29" s="115">
        <f t="shared" si="1"/>
        <v>0</v>
      </c>
    </row>
    <row r="30" spans="1:18" ht="11.25" customHeight="1" x14ac:dyDescent="0.2">
      <c r="A30" s="109"/>
      <c r="B30" s="120" t="s">
        <v>229</v>
      </c>
      <c r="C30" s="111" t="s">
        <v>45</v>
      </c>
      <c r="D30" s="130"/>
      <c r="E30" s="113"/>
      <c r="F30" s="131"/>
      <c r="G30" s="131"/>
      <c r="H30" s="131"/>
      <c r="I30" s="131"/>
      <c r="J30" s="131"/>
      <c r="K30" s="131"/>
      <c r="L30" s="131"/>
      <c r="M30" s="131"/>
      <c r="N30" s="131"/>
      <c r="O30" s="131"/>
      <c r="P30" s="131"/>
      <c r="Q30" s="131"/>
      <c r="R30" s="115">
        <f t="shared" si="1"/>
        <v>0</v>
      </c>
    </row>
    <row r="31" spans="1:18" ht="11.25" customHeight="1" x14ac:dyDescent="0.2">
      <c r="A31" s="132"/>
      <c r="B31" s="129" t="s">
        <v>230</v>
      </c>
      <c r="C31" s="133"/>
      <c r="D31" s="134"/>
      <c r="E31" s="135"/>
      <c r="F31" s="136"/>
      <c r="G31" s="136"/>
      <c r="H31" s="136"/>
      <c r="I31" s="136"/>
      <c r="J31" s="136"/>
      <c r="K31" s="136"/>
      <c r="L31" s="136"/>
      <c r="M31" s="136"/>
      <c r="N31" s="136"/>
      <c r="O31" s="136"/>
      <c r="P31" s="136"/>
      <c r="Q31" s="136"/>
      <c r="R31" s="137"/>
    </row>
    <row r="32" spans="1:18" ht="11.25" customHeight="1" x14ac:dyDescent="0.2">
      <c r="A32" s="109"/>
      <c r="B32" s="120" t="s">
        <v>306</v>
      </c>
      <c r="C32" s="111" t="s">
        <v>45</v>
      </c>
      <c r="D32" s="130"/>
      <c r="E32" s="113"/>
      <c r="F32" s="131"/>
      <c r="G32" s="131"/>
      <c r="H32" s="131"/>
      <c r="I32" s="131"/>
      <c r="J32" s="131"/>
      <c r="K32" s="131"/>
      <c r="L32" s="131"/>
      <c r="M32" s="131"/>
      <c r="N32" s="131"/>
      <c r="O32" s="131"/>
      <c r="P32" s="131"/>
      <c r="Q32" s="131"/>
      <c r="R32" s="115">
        <f>+E32*$D32</f>
        <v>0</v>
      </c>
    </row>
    <row r="33" spans="1:18" ht="11.25" customHeight="1" x14ac:dyDescent="0.2">
      <c r="A33" s="109"/>
      <c r="B33" s="120" t="s">
        <v>231</v>
      </c>
      <c r="C33" s="111" t="s">
        <v>45</v>
      </c>
      <c r="D33" s="130"/>
      <c r="E33" s="113"/>
      <c r="F33" s="131"/>
      <c r="G33" s="131"/>
      <c r="H33" s="131"/>
      <c r="I33" s="131"/>
      <c r="J33" s="131"/>
      <c r="K33" s="131"/>
      <c r="L33" s="131"/>
      <c r="M33" s="131"/>
      <c r="N33" s="131"/>
      <c r="O33" s="131"/>
      <c r="P33" s="131"/>
      <c r="Q33" s="131"/>
      <c r="R33" s="115">
        <f>+E33*$D33</f>
        <v>0</v>
      </c>
    </row>
    <row r="34" spans="1:18" ht="11.25" customHeight="1" x14ac:dyDescent="0.2">
      <c r="A34" s="109"/>
      <c r="B34" s="120" t="s">
        <v>232</v>
      </c>
      <c r="C34" s="111" t="s">
        <v>45</v>
      </c>
      <c r="D34" s="130"/>
      <c r="E34" s="113"/>
      <c r="F34" s="131"/>
      <c r="G34" s="131"/>
      <c r="H34" s="131"/>
      <c r="I34" s="131"/>
      <c r="J34" s="131"/>
      <c r="K34" s="131"/>
      <c r="L34" s="131"/>
      <c r="M34" s="131"/>
      <c r="N34" s="131"/>
      <c r="O34" s="131"/>
      <c r="P34" s="131"/>
      <c r="Q34" s="131"/>
      <c r="R34" s="115">
        <f>+E34*$D34</f>
        <v>0</v>
      </c>
    </row>
    <row r="35" spans="1:18" ht="11.25" customHeight="1" x14ac:dyDescent="0.2">
      <c r="A35" s="132"/>
      <c r="B35" s="129" t="s">
        <v>233</v>
      </c>
      <c r="C35" s="133"/>
      <c r="D35" s="134"/>
      <c r="E35" s="135"/>
      <c r="F35" s="136"/>
      <c r="G35" s="136"/>
      <c r="H35" s="136"/>
      <c r="I35" s="136"/>
      <c r="J35" s="136"/>
      <c r="K35" s="136"/>
      <c r="L35" s="136"/>
      <c r="M35" s="136"/>
      <c r="N35" s="136"/>
      <c r="O35" s="136"/>
      <c r="P35" s="136"/>
      <c r="Q35" s="136"/>
      <c r="R35" s="137"/>
    </row>
    <row r="36" spans="1:18" ht="11.25" customHeight="1" x14ac:dyDescent="0.2">
      <c r="A36" s="109"/>
      <c r="B36" s="120" t="s">
        <v>307</v>
      </c>
      <c r="C36" s="111" t="s">
        <v>45</v>
      </c>
      <c r="D36" s="130"/>
      <c r="E36" s="113"/>
      <c r="F36" s="131"/>
      <c r="G36" s="131"/>
      <c r="H36" s="131"/>
      <c r="I36" s="131"/>
      <c r="J36" s="131"/>
      <c r="K36" s="131"/>
      <c r="L36" s="131"/>
      <c r="M36" s="131"/>
      <c r="N36" s="131"/>
      <c r="O36" s="131"/>
      <c r="P36" s="131"/>
      <c r="Q36" s="131"/>
      <c r="R36" s="115">
        <f>+E36*$D36</f>
        <v>0</v>
      </c>
    </row>
    <row r="37" spans="1:18" ht="11.25" customHeight="1" x14ac:dyDescent="0.2">
      <c r="A37" s="109"/>
      <c r="B37" s="120" t="s">
        <v>234</v>
      </c>
      <c r="C37" s="111" t="s">
        <v>45</v>
      </c>
      <c r="D37" s="130"/>
      <c r="E37" s="113"/>
      <c r="F37" s="131"/>
      <c r="G37" s="131"/>
      <c r="H37" s="131"/>
      <c r="I37" s="131"/>
      <c r="J37" s="131"/>
      <c r="K37" s="131"/>
      <c r="L37" s="131"/>
      <c r="M37" s="131"/>
      <c r="N37" s="131"/>
      <c r="O37" s="131"/>
      <c r="P37" s="131"/>
      <c r="Q37" s="131"/>
      <c r="R37" s="115">
        <f>+E37*$D37</f>
        <v>0</v>
      </c>
    </row>
    <row r="38" spans="1:18" ht="11.25" customHeight="1" x14ac:dyDescent="0.2">
      <c r="A38" s="109"/>
      <c r="B38" s="120" t="s">
        <v>235</v>
      </c>
      <c r="C38" s="111" t="s">
        <v>45</v>
      </c>
      <c r="D38" s="130"/>
      <c r="E38" s="113"/>
      <c r="F38" s="131"/>
      <c r="G38" s="131"/>
      <c r="H38" s="131"/>
      <c r="I38" s="131"/>
      <c r="J38" s="131"/>
      <c r="K38" s="131"/>
      <c r="L38" s="131"/>
      <c r="M38" s="131"/>
      <c r="N38" s="131"/>
      <c r="O38" s="131"/>
      <c r="P38" s="131"/>
      <c r="Q38" s="131"/>
      <c r="R38" s="115">
        <f>+E38*$D38</f>
        <v>0</v>
      </c>
    </row>
    <row r="39" spans="1:18" ht="11.25" customHeight="1" x14ac:dyDescent="0.2">
      <c r="A39" s="109"/>
      <c r="B39" s="120" t="s">
        <v>236</v>
      </c>
      <c r="C39" s="111" t="s">
        <v>45</v>
      </c>
      <c r="D39" s="130"/>
      <c r="E39" s="113"/>
      <c r="F39" s="131"/>
      <c r="G39" s="131"/>
      <c r="H39" s="131"/>
      <c r="I39" s="131"/>
      <c r="J39" s="131"/>
      <c r="K39" s="131"/>
      <c r="L39" s="131"/>
      <c r="M39" s="131"/>
      <c r="N39" s="131"/>
      <c r="O39" s="131"/>
      <c r="P39" s="131"/>
      <c r="Q39" s="131"/>
      <c r="R39" s="115">
        <f>+E39*$D39</f>
        <v>0</v>
      </c>
    </row>
    <row r="40" spans="1:18" ht="11.25" customHeight="1" x14ac:dyDescent="0.2">
      <c r="A40" s="109"/>
      <c r="B40" s="120" t="s">
        <v>237</v>
      </c>
      <c r="C40" s="111" t="s">
        <v>45</v>
      </c>
      <c r="D40" s="130"/>
      <c r="E40" s="113"/>
      <c r="F40" s="131"/>
      <c r="G40" s="131"/>
      <c r="H40" s="131"/>
      <c r="I40" s="131"/>
      <c r="J40" s="131"/>
      <c r="K40" s="131"/>
      <c r="L40" s="131"/>
      <c r="M40" s="131"/>
      <c r="N40" s="131"/>
      <c r="O40" s="131"/>
      <c r="P40" s="131"/>
      <c r="Q40" s="131"/>
      <c r="R40" s="115">
        <f>+E40*$D40</f>
        <v>0</v>
      </c>
    </row>
    <row r="41" spans="1:18" ht="11.25" customHeight="1" x14ac:dyDescent="0.2">
      <c r="A41" s="109"/>
      <c r="B41" s="138" t="s">
        <v>238</v>
      </c>
      <c r="C41" s="111"/>
      <c r="D41" s="112"/>
      <c r="E41" s="113"/>
      <c r="F41" s="131"/>
      <c r="G41" s="131"/>
      <c r="H41" s="131"/>
      <c r="I41" s="131"/>
      <c r="J41" s="131"/>
      <c r="K41" s="131"/>
      <c r="L41" s="131"/>
      <c r="M41" s="131"/>
      <c r="N41" s="131"/>
      <c r="O41" s="131"/>
      <c r="P41" s="131"/>
      <c r="Q41" s="131"/>
      <c r="R41" s="115"/>
    </row>
    <row r="42" spans="1:18" ht="11.25" customHeight="1" x14ac:dyDescent="0.2">
      <c r="A42" s="109"/>
      <c r="B42" s="110" t="s">
        <v>239</v>
      </c>
      <c r="C42" s="111" t="s">
        <v>45</v>
      </c>
      <c r="D42" s="112"/>
      <c r="E42" s="113"/>
      <c r="F42" s="131"/>
      <c r="G42" s="131"/>
      <c r="H42" s="131"/>
      <c r="I42" s="131"/>
      <c r="J42" s="131"/>
      <c r="K42" s="131"/>
      <c r="L42" s="131"/>
      <c r="M42" s="131"/>
      <c r="N42" s="131"/>
      <c r="O42" s="131"/>
      <c r="P42" s="131"/>
      <c r="Q42" s="131"/>
      <c r="R42" s="115">
        <f>+E42*$D42</f>
        <v>0</v>
      </c>
    </row>
    <row r="43" spans="1:18" ht="11.25" customHeight="1" x14ac:dyDescent="0.2">
      <c r="A43" s="109"/>
      <c r="B43" s="110" t="s">
        <v>240</v>
      </c>
      <c r="C43" s="111" t="s">
        <v>45</v>
      </c>
      <c r="D43" s="112"/>
      <c r="E43" s="113"/>
      <c r="F43" s="131"/>
      <c r="G43" s="131"/>
      <c r="H43" s="131"/>
      <c r="I43" s="131"/>
      <c r="J43" s="131"/>
      <c r="K43" s="131"/>
      <c r="L43" s="131"/>
      <c r="M43" s="131"/>
      <c r="N43" s="131"/>
      <c r="O43" s="131"/>
      <c r="P43" s="131"/>
      <c r="Q43" s="131"/>
      <c r="R43" s="115">
        <f>+E43*$D43</f>
        <v>0</v>
      </c>
    </row>
    <row r="44" spans="1:18" ht="11.25" customHeight="1" x14ac:dyDescent="0.2">
      <c r="A44" s="139"/>
      <c r="B44" s="140" t="s">
        <v>241</v>
      </c>
      <c r="C44" s="141" t="s">
        <v>45</v>
      </c>
      <c r="D44" s="142"/>
      <c r="E44" s="143"/>
      <c r="F44" s="144"/>
      <c r="G44" s="144"/>
      <c r="H44" s="144"/>
      <c r="I44" s="144"/>
      <c r="J44" s="144"/>
      <c r="K44" s="144"/>
      <c r="L44" s="144"/>
      <c r="M44" s="144"/>
      <c r="N44" s="144"/>
      <c r="O44" s="144"/>
      <c r="P44" s="144"/>
      <c r="Q44" s="144"/>
      <c r="R44" s="145">
        <f>+E44*$D44</f>
        <v>0</v>
      </c>
    </row>
    <row r="45" spans="1:18" ht="11.25" customHeight="1" x14ac:dyDescent="0.2">
      <c r="A45" s="95">
        <v>22200</v>
      </c>
      <c r="B45" s="96" t="s">
        <v>308</v>
      </c>
      <c r="C45" s="97"/>
      <c r="D45" s="98"/>
      <c r="E45" s="99"/>
      <c r="F45" s="100"/>
      <c r="G45" s="100"/>
      <c r="H45" s="100"/>
      <c r="I45" s="100"/>
      <c r="J45" s="100"/>
      <c r="K45" s="100"/>
      <c r="L45" s="100"/>
      <c r="M45" s="100"/>
      <c r="N45" s="100"/>
      <c r="O45" s="100"/>
      <c r="P45" s="100"/>
      <c r="Q45" s="100"/>
      <c r="R45" s="101">
        <f>SUM(R46+R61)</f>
        <v>0</v>
      </c>
    </row>
    <row r="46" spans="1:18" ht="11.25" customHeight="1" x14ac:dyDescent="0.2">
      <c r="A46" s="146">
        <v>22210</v>
      </c>
      <c r="B46" s="103" t="s">
        <v>153</v>
      </c>
      <c r="C46" s="104"/>
      <c r="D46" s="105"/>
      <c r="E46" s="106"/>
      <c r="F46" s="107"/>
      <c r="G46" s="107"/>
      <c r="H46" s="107"/>
      <c r="I46" s="107"/>
      <c r="J46" s="107"/>
      <c r="K46" s="107"/>
      <c r="L46" s="107"/>
      <c r="M46" s="107"/>
      <c r="N46" s="107"/>
      <c r="O46" s="107"/>
      <c r="P46" s="107"/>
      <c r="Q46" s="107"/>
      <c r="R46" s="108">
        <f>SUM(R48:R60)</f>
        <v>0</v>
      </c>
    </row>
    <row r="47" spans="1:18" ht="11.25" customHeight="1" x14ac:dyDescent="0.2">
      <c r="A47" s="147"/>
      <c r="B47" s="148" t="s">
        <v>56</v>
      </c>
      <c r="C47" s="149"/>
      <c r="D47" s="150"/>
      <c r="E47" s="151"/>
      <c r="F47" s="152"/>
      <c r="G47" s="152"/>
      <c r="H47" s="152"/>
      <c r="I47" s="152"/>
      <c r="J47" s="152"/>
      <c r="K47" s="152"/>
      <c r="L47" s="152"/>
      <c r="M47" s="152"/>
      <c r="N47" s="152"/>
      <c r="O47" s="152"/>
      <c r="P47" s="152"/>
      <c r="Q47" s="152"/>
      <c r="R47" s="153"/>
    </row>
    <row r="48" spans="1:18" ht="11.25" customHeight="1" x14ac:dyDescent="0.2">
      <c r="A48" s="154"/>
      <c r="B48" s="120" t="s">
        <v>294</v>
      </c>
      <c r="C48" s="110" t="s">
        <v>57</v>
      </c>
      <c r="D48" s="130"/>
      <c r="E48" s="151"/>
      <c r="F48" s="155"/>
      <c r="G48" s="155"/>
      <c r="H48" s="155"/>
      <c r="I48" s="155"/>
      <c r="J48" s="155"/>
      <c r="K48" s="155"/>
      <c r="L48" s="155"/>
      <c r="M48" s="155"/>
      <c r="N48" s="155"/>
      <c r="O48" s="155"/>
      <c r="P48" s="155"/>
      <c r="Q48" s="155"/>
      <c r="R48" s="115">
        <f t="shared" ref="R48:R53" si="2">+E48*$D48</f>
        <v>0</v>
      </c>
    </row>
    <row r="49" spans="1:18" ht="11.25" customHeight="1" x14ac:dyDescent="0.2">
      <c r="A49" s="154"/>
      <c r="B49" s="120" t="s">
        <v>295</v>
      </c>
      <c r="C49" s="110" t="s">
        <v>57</v>
      </c>
      <c r="D49" s="130"/>
      <c r="E49" s="151"/>
      <c r="F49" s="156"/>
      <c r="G49" s="156"/>
      <c r="H49" s="156"/>
      <c r="I49" s="156"/>
      <c r="J49" s="156"/>
      <c r="K49" s="156"/>
      <c r="L49" s="156"/>
      <c r="M49" s="156"/>
      <c r="N49" s="156"/>
      <c r="O49" s="156"/>
      <c r="P49" s="156"/>
      <c r="Q49" s="156"/>
      <c r="R49" s="115">
        <f t="shared" si="2"/>
        <v>0</v>
      </c>
    </row>
    <row r="50" spans="1:18" ht="11.25" customHeight="1" x14ac:dyDescent="0.2">
      <c r="A50" s="154"/>
      <c r="B50" s="120" t="s">
        <v>296</v>
      </c>
      <c r="C50" s="110" t="s">
        <v>57</v>
      </c>
      <c r="D50" s="130"/>
      <c r="E50" s="151"/>
      <c r="F50" s="156"/>
      <c r="G50" s="156"/>
      <c r="H50" s="156"/>
      <c r="I50" s="156"/>
      <c r="J50" s="156"/>
      <c r="K50" s="156"/>
      <c r="L50" s="156"/>
      <c r="M50" s="156"/>
      <c r="N50" s="156"/>
      <c r="O50" s="156"/>
      <c r="P50" s="156"/>
      <c r="Q50" s="156"/>
      <c r="R50" s="115">
        <f t="shared" si="2"/>
        <v>0</v>
      </c>
    </row>
    <row r="51" spans="1:18" ht="11.25" customHeight="1" x14ac:dyDescent="0.2">
      <c r="A51" s="154"/>
      <c r="B51" s="120" t="s">
        <v>58</v>
      </c>
      <c r="C51" s="110" t="s">
        <v>57</v>
      </c>
      <c r="D51" s="130"/>
      <c r="E51" s="151"/>
      <c r="F51" s="156"/>
      <c r="G51" s="156"/>
      <c r="H51" s="156"/>
      <c r="I51" s="156"/>
      <c r="J51" s="156"/>
      <c r="K51" s="156"/>
      <c r="L51" s="156"/>
      <c r="M51" s="156"/>
      <c r="N51" s="156"/>
      <c r="O51" s="156"/>
      <c r="P51" s="156"/>
      <c r="Q51" s="156"/>
      <c r="R51" s="115">
        <f t="shared" si="2"/>
        <v>0</v>
      </c>
    </row>
    <row r="52" spans="1:18" ht="11.25" customHeight="1" x14ac:dyDescent="0.2">
      <c r="A52" s="154"/>
      <c r="B52" s="120" t="s">
        <v>59</v>
      </c>
      <c r="C52" s="110" t="s">
        <v>57</v>
      </c>
      <c r="D52" s="130"/>
      <c r="E52" s="151"/>
      <c r="F52" s="156"/>
      <c r="G52" s="156"/>
      <c r="H52" s="156"/>
      <c r="I52" s="156"/>
      <c r="J52" s="156"/>
      <c r="K52" s="156"/>
      <c r="L52" s="156"/>
      <c r="M52" s="156"/>
      <c r="N52" s="156"/>
      <c r="O52" s="156"/>
      <c r="P52" s="156"/>
      <c r="Q52" s="156"/>
      <c r="R52" s="115">
        <f t="shared" si="2"/>
        <v>0</v>
      </c>
    </row>
    <row r="53" spans="1:18" ht="11.25" customHeight="1" x14ac:dyDescent="0.2">
      <c r="A53" s="154"/>
      <c r="B53" s="120" t="s">
        <v>60</v>
      </c>
      <c r="C53" s="110" t="s">
        <v>57</v>
      </c>
      <c r="D53" s="130"/>
      <c r="E53" s="151"/>
      <c r="F53" s="156"/>
      <c r="G53" s="156"/>
      <c r="H53" s="156"/>
      <c r="I53" s="156"/>
      <c r="J53" s="156"/>
      <c r="K53" s="156"/>
      <c r="L53" s="156"/>
      <c r="M53" s="156"/>
      <c r="N53" s="156"/>
      <c r="O53" s="156"/>
      <c r="P53" s="156"/>
      <c r="Q53" s="156"/>
      <c r="R53" s="115">
        <f t="shared" si="2"/>
        <v>0</v>
      </c>
    </row>
    <row r="54" spans="1:18" ht="11.25" customHeight="1" x14ac:dyDescent="0.2">
      <c r="A54" s="154"/>
      <c r="B54" s="148" t="s">
        <v>61</v>
      </c>
      <c r="C54" s="110"/>
      <c r="D54" s="130"/>
      <c r="E54" s="151"/>
      <c r="F54" s="156"/>
      <c r="G54" s="156"/>
      <c r="H54" s="156"/>
      <c r="I54" s="156"/>
      <c r="J54" s="156"/>
      <c r="K54" s="156"/>
      <c r="L54" s="156"/>
      <c r="M54" s="156"/>
      <c r="N54" s="156"/>
      <c r="O54" s="156"/>
      <c r="P54" s="156"/>
      <c r="Q54" s="156"/>
      <c r="R54" s="115"/>
    </row>
    <row r="55" spans="1:18" ht="11.25" customHeight="1" x14ac:dyDescent="0.2">
      <c r="A55" s="154"/>
      <c r="B55" s="120" t="s">
        <v>294</v>
      </c>
      <c r="C55" s="110" t="s">
        <v>57</v>
      </c>
      <c r="D55" s="130"/>
      <c r="E55" s="151"/>
      <c r="F55" s="156"/>
      <c r="G55" s="156"/>
      <c r="H55" s="156"/>
      <c r="I55" s="156"/>
      <c r="J55" s="156"/>
      <c r="K55" s="156"/>
      <c r="L55" s="156"/>
      <c r="M55" s="156"/>
      <c r="N55" s="156"/>
      <c r="O55" s="156"/>
      <c r="P55" s="156"/>
      <c r="Q55" s="156"/>
      <c r="R55" s="115">
        <f t="shared" ref="R55:R60" si="3">+E55*$D55</f>
        <v>0</v>
      </c>
    </row>
    <row r="56" spans="1:18" ht="11.25" customHeight="1" x14ac:dyDescent="0.2">
      <c r="A56" s="154"/>
      <c r="B56" s="120" t="s">
        <v>295</v>
      </c>
      <c r="C56" s="110" t="s">
        <v>57</v>
      </c>
      <c r="D56" s="130"/>
      <c r="E56" s="151"/>
      <c r="F56" s="156"/>
      <c r="G56" s="156"/>
      <c r="H56" s="156"/>
      <c r="I56" s="156"/>
      <c r="J56" s="156"/>
      <c r="K56" s="156"/>
      <c r="L56" s="156"/>
      <c r="M56" s="156"/>
      <c r="N56" s="156"/>
      <c r="O56" s="156"/>
      <c r="P56" s="156"/>
      <c r="Q56" s="156"/>
      <c r="R56" s="115">
        <f t="shared" si="3"/>
        <v>0</v>
      </c>
    </row>
    <row r="57" spans="1:18" ht="11.25" customHeight="1" x14ac:dyDescent="0.2">
      <c r="A57" s="154"/>
      <c r="B57" s="120" t="s">
        <v>296</v>
      </c>
      <c r="C57" s="110" t="s">
        <v>57</v>
      </c>
      <c r="D57" s="130"/>
      <c r="E57" s="151"/>
      <c r="F57" s="156"/>
      <c r="G57" s="156"/>
      <c r="H57" s="156"/>
      <c r="I57" s="156"/>
      <c r="J57" s="156"/>
      <c r="K57" s="156"/>
      <c r="L57" s="156"/>
      <c r="M57" s="156"/>
      <c r="N57" s="156"/>
      <c r="O57" s="156"/>
      <c r="P57" s="156"/>
      <c r="Q57" s="156"/>
      <c r="R57" s="115">
        <f t="shared" si="3"/>
        <v>0</v>
      </c>
    </row>
    <row r="58" spans="1:18" ht="11.25" customHeight="1" x14ac:dyDescent="0.2">
      <c r="A58" s="154"/>
      <c r="B58" s="120" t="s">
        <v>58</v>
      </c>
      <c r="C58" s="110" t="s">
        <v>57</v>
      </c>
      <c r="D58" s="130"/>
      <c r="E58" s="151"/>
      <c r="F58" s="156"/>
      <c r="G58" s="156"/>
      <c r="H58" s="156"/>
      <c r="I58" s="156"/>
      <c r="J58" s="156"/>
      <c r="K58" s="156"/>
      <c r="L58" s="156"/>
      <c r="M58" s="156"/>
      <c r="N58" s="156"/>
      <c r="O58" s="156"/>
      <c r="P58" s="156"/>
      <c r="Q58" s="156"/>
      <c r="R58" s="115">
        <f t="shared" si="3"/>
        <v>0</v>
      </c>
    </row>
    <row r="59" spans="1:18" ht="11.25" customHeight="1" x14ac:dyDescent="0.2">
      <c r="A59" s="154"/>
      <c r="B59" s="120" t="s">
        <v>59</v>
      </c>
      <c r="C59" s="110" t="s">
        <v>57</v>
      </c>
      <c r="D59" s="130"/>
      <c r="E59" s="151"/>
      <c r="F59" s="156"/>
      <c r="G59" s="156"/>
      <c r="H59" s="156"/>
      <c r="I59" s="156"/>
      <c r="J59" s="156"/>
      <c r="K59" s="156"/>
      <c r="L59" s="156"/>
      <c r="M59" s="156"/>
      <c r="N59" s="156"/>
      <c r="O59" s="156"/>
      <c r="P59" s="156"/>
      <c r="Q59" s="156"/>
      <c r="R59" s="115">
        <f t="shared" si="3"/>
        <v>0</v>
      </c>
    </row>
    <row r="60" spans="1:18" ht="11.25" customHeight="1" x14ac:dyDescent="0.2">
      <c r="A60" s="154"/>
      <c r="B60" s="120" t="s">
        <v>60</v>
      </c>
      <c r="C60" s="110" t="s">
        <v>57</v>
      </c>
      <c r="D60" s="130"/>
      <c r="E60" s="151"/>
      <c r="F60" s="156"/>
      <c r="G60" s="156"/>
      <c r="H60" s="156"/>
      <c r="I60" s="156"/>
      <c r="J60" s="156"/>
      <c r="K60" s="156"/>
      <c r="L60" s="156"/>
      <c r="M60" s="156"/>
      <c r="N60" s="156"/>
      <c r="O60" s="156"/>
      <c r="P60" s="156"/>
      <c r="Q60" s="156"/>
      <c r="R60" s="115">
        <f t="shared" si="3"/>
        <v>0</v>
      </c>
    </row>
    <row r="61" spans="1:18" ht="11.25" customHeight="1" x14ac:dyDescent="0.2">
      <c r="A61" s="157">
        <v>22220</v>
      </c>
      <c r="B61" s="123" t="s">
        <v>154</v>
      </c>
      <c r="C61" s="124"/>
      <c r="D61" s="125"/>
      <c r="E61" s="126"/>
      <c r="F61" s="158"/>
      <c r="G61" s="158"/>
      <c r="H61" s="158"/>
      <c r="I61" s="158"/>
      <c r="J61" s="158"/>
      <c r="K61" s="158"/>
      <c r="L61" s="158"/>
      <c r="M61" s="158"/>
      <c r="N61" s="158"/>
      <c r="O61" s="158"/>
      <c r="P61" s="158"/>
      <c r="Q61" s="158"/>
      <c r="R61" s="128">
        <f>SUM(R63:R74)</f>
        <v>0</v>
      </c>
    </row>
    <row r="62" spans="1:18" ht="11.25" customHeight="1" x14ac:dyDescent="0.2">
      <c r="A62" s="154"/>
      <c r="B62" s="129" t="s">
        <v>62</v>
      </c>
      <c r="C62" s="110"/>
      <c r="D62" s="130"/>
      <c r="E62" s="151"/>
      <c r="F62" s="155"/>
      <c r="G62" s="155"/>
      <c r="H62" s="155"/>
      <c r="I62" s="155"/>
      <c r="J62" s="155"/>
      <c r="K62" s="155"/>
      <c r="L62" s="155"/>
      <c r="M62" s="155"/>
      <c r="N62" s="155"/>
      <c r="O62" s="155"/>
      <c r="P62" s="155"/>
      <c r="Q62" s="155"/>
      <c r="R62" s="115"/>
    </row>
    <row r="63" spans="1:18" ht="11.25" customHeight="1" x14ac:dyDescent="0.2">
      <c r="A63" s="154"/>
      <c r="B63" s="120" t="s">
        <v>294</v>
      </c>
      <c r="C63" s="110" t="s">
        <v>57</v>
      </c>
      <c r="D63" s="130"/>
      <c r="E63" s="151"/>
      <c r="F63" s="155"/>
      <c r="G63" s="155"/>
      <c r="H63" s="155"/>
      <c r="I63" s="155"/>
      <c r="J63" s="155"/>
      <c r="K63" s="155"/>
      <c r="L63" s="155"/>
      <c r="M63" s="155"/>
      <c r="N63" s="155"/>
      <c r="O63" s="155"/>
      <c r="P63" s="155"/>
      <c r="Q63" s="155"/>
      <c r="R63" s="115">
        <f>+E63*$D63</f>
        <v>0</v>
      </c>
    </row>
    <row r="64" spans="1:18" ht="11.25" customHeight="1" x14ac:dyDescent="0.2">
      <c r="A64" s="154"/>
      <c r="B64" s="120" t="s">
        <v>295</v>
      </c>
      <c r="C64" s="110" t="s">
        <v>57</v>
      </c>
      <c r="D64" s="130"/>
      <c r="E64" s="151"/>
      <c r="F64" s="155"/>
      <c r="G64" s="155"/>
      <c r="H64" s="155"/>
      <c r="I64" s="155"/>
      <c r="J64" s="155"/>
      <c r="K64" s="155"/>
      <c r="L64" s="155"/>
      <c r="M64" s="155"/>
      <c r="N64" s="155"/>
      <c r="O64" s="155"/>
      <c r="P64" s="155"/>
      <c r="Q64" s="155"/>
      <c r="R64" s="115">
        <f>+E64*$D64</f>
        <v>0</v>
      </c>
    </row>
    <row r="65" spans="1:18" ht="11.25" customHeight="1" x14ac:dyDescent="0.2">
      <c r="A65" s="154"/>
      <c r="B65" s="120" t="s">
        <v>296</v>
      </c>
      <c r="C65" s="110" t="s">
        <v>57</v>
      </c>
      <c r="D65" s="130"/>
      <c r="E65" s="151"/>
      <c r="F65" s="155"/>
      <c r="G65" s="155"/>
      <c r="H65" s="155"/>
      <c r="I65" s="155"/>
      <c r="J65" s="155"/>
      <c r="K65" s="155"/>
      <c r="L65" s="155"/>
      <c r="M65" s="155"/>
      <c r="N65" s="155"/>
      <c r="O65" s="155"/>
      <c r="P65" s="155"/>
      <c r="Q65" s="155"/>
      <c r="R65" s="115">
        <f>+E65*$D65</f>
        <v>0</v>
      </c>
    </row>
    <row r="66" spans="1:18" ht="11.25" customHeight="1" x14ac:dyDescent="0.2">
      <c r="A66" s="154"/>
      <c r="B66" s="120" t="s">
        <v>58</v>
      </c>
      <c r="C66" s="110" t="s">
        <v>57</v>
      </c>
      <c r="D66" s="130"/>
      <c r="E66" s="151"/>
      <c r="F66" s="155"/>
      <c r="G66" s="155"/>
      <c r="H66" s="155"/>
      <c r="I66" s="155"/>
      <c r="J66" s="155"/>
      <c r="K66" s="155"/>
      <c r="L66" s="155"/>
      <c r="M66" s="155"/>
      <c r="N66" s="155"/>
      <c r="O66" s="155"/>
      <c r="P66" s="155"/>
      <c r="Q66" s="155"/>
      <c r="R66" s="115">
        <f>+E66*$D66</f>
        <v>0</v>
      </c>
    </row>
    <row r="67" spans="1:18" ht="11.25" customHeight="1" x14ac:dyDescent="0.2">
      <c r="A67" s="154"/>
      <c r="B67" s="120" t="s">
        <v>59</v>
      </c>
      <c r="C67" s="110" t="s">
        <v>57</v>
      </c>
      <c r="D67" s="130"/>
      <c r="E67" s="151"/>
      <c r="F67" s="155"/>
      <c r="G67" s="155"/>
      <c r="H67" s="155"/>
      <c r="I67" s="155"/>
      <c r="J67" s="155"/>
      <c r="K67" s="155"/>
      <c r="L67" s="155"/>
      <c r="M67" s="155"/>
      <c r="N67" s="155"/>
      <c r="O67" s="155"/>
      <c r="P67" s="155"/>
      <c r="Q67" s="155"/>
      <c r="R67" s="115">
        <f>+E67*$D67</f>
        <v>0</v>
      </c>
    </row>
    <row r="68" spans="1:18" ht="11.25" customHeight="1" x14ac:dyDescent="0.2">
      <c r="A68" s="154"/>
      <c r="B68" s="129" t="s">
        <v>63</v>
      </c>
      <c r="C68" s="110"/>
      <c r="D68" s="159"/>
      <c r="E68" s="151"/>
      <c r="F68" s="155"/>
      <c r="G68" s="155"/>
      <c r="H68" s="155"/>
      <c r="I68" s="155"/>
      <c r="J68" s="155"/>
      <c r="K68" s="155"/>
      <c r="L68" s="155"/>
      <c r="M68" s="155"/>
      <c r="N68" s="155"/>
      <c r="O68" s="155"/>
      <c r="P68" s="155"/>
      <c r="Q68" s="155"/>
      <c r="R68" s="115"/>
    </row>
    <row r="69" spans="1:18" ht="11.25" customHeight="1" x14ac:dyDescent="0.2">
      <c r="A69" s="154"/>
      <c r="B69" s="120" t="s">
        <v>294</v>
      </c>
      <c r="C69" s="110" t="s">
        <v>57</v>
      </c>
      <c r="D69" s="130"/>
      <c r="E69" s="151"/>
      <c r="F69" s="155"/>
      <c r="G69" s="155"/>
      <c r="H69" s="155"/>
      <c r="I69" s="155"/>
      <c r="J69" s="155"/>
      <c r="K69" s="155"/>
      <c r="L69" s="155"/>
      <c r="M69" s="155"/>
      <c r="N69" s="155"/>
      <c r="O69" s="155"/>
      <c r="P69" s="155"/>
      <c r="Q69" s="155"/>
      <c r="R69" s="115">
        <f>+E69*$D69</f>
        <v>0</v>
      </c>
    </row>
    <row r="70" spans="1:18" ht="11.25" customHeight="1" x14ac:dyDescent="0.2">
      <c r="A70" s="154"/>
      <c r="B70" s="120" t="s">
        <v>295</v>
      </c>
      <c r="C70" s="110" t="s">
        <v>57</v>
      </c>
      <c r="D70" s="130"/>
      <c r="E70" s="151"/>
      <c r="F70" s="156"/>
      <c r="G70" s="156"/>
      <c r="H70" s="156"/>
      <c r="I70" s="156"/>
      <c r="J70" s="156"/>
      <c r="K70" s="156"/>
      <c r="L70" s="156"/>
      <c r="M70" s="156"/>
      <c r="N70" s="156"/>
      <c r="O70" s="156"/>
      <c r="P70" s="156"/>
      <c r="Q70" s="156"/>
      <c r="R70" s="115">
        <f>+E70*$D70</f>
        <v>0</v>
      </c>
    </row>
    <row r="71" spans="1:18" ht="11.25" customHeight="1" x14ac:dyDescent="0.2">
      <c r="A71" s="154"/>
      <c r="B71" s="120" t="s">
        <v>296</v>
      </c>
      <c r="C71" s="110" t="s">
        <v>57</v>
      </c>
      <c r="D71" s="130"/>
      <c r="E71" s="151"/>
      <c r="F71" s="156"/>
      <c r="G71" s="156"/>
      <c r="H71" s="156"/>
      <c r="I71" s="156"/>
      <c r="J71" s="156"/>
      <c r="K71" s="156"/>
      <c r="L71" s="156"/>
      <c r="M71" s="156"/>
      <c r="N71" s="156"/>
      <c r="O71" s="156"/>
      <c r="P71" s="156"/>
      <c r="Q71" s="156"/>
      <c r="R71" s="115">
        <f>+E71*$D71</f>
        <v>0</v>
      </c>
    </row>
    <row r="72" spans="1:18" ht="11.25" customHeight="1" x14ac:dyDescent="0.2">
      <c r="A72" s="154"/>
      <c r="B72" s="120" t="s">
        <v>58</v>
      </c>
      <c r="C72" s="110" t="s">
        <v>57</v>
      </c>
      <c r="D72" s="130"/>
      <c r="E72" s="151"/>
      <c r="F72" s="155"/>
      <c r="G72" s="155"/>
      <c r="H72" s="155"/>
      <c r="I72" s="155"/>
      <c r="J72" s="155"/>
      <c r="K72" s="155"/>
      <c r="L72" s="155"/>
      <c r="M72" s="155"/>
      <c r="N72" s="155"/>
      <c r="O72" s="155"/>
      <c r="P72" s="155"/>
      <c r="Q72" s="155"/>
      <c r="R72" s="115">
        <f>+E72*$D72</f>
        <v>0</v>
      </c>
    </row>
    <row r="73" spans="1:18" ht="11.25" customHeight="1" x14ac:dyDescent="0.2">
      <c r="A73" s="154"/>
      <c r="B73" s="120" t="s">
        <v>59</v>
      </c>
      <c r="C73" s="110" t="s">
        <v>57</v>
      </c>
      <c r="D73" s="130"/>
      <c r="E73" s="151"/>
      <c r="F73" s="155"/>
      <c r="G73" s="155"/>
      <c r="H73" s="155"/>
      <c r="I73" s="155"/>
      <c r="J73" s="155"/>
      <c r="K73" s="155"/>
      <c r="L73" s="155"/>
      <c r="M73" s="155"/>
      <c r="N73" s="155"/>
      <c r="O73" s="155"/>
      <c r="P73" s="155"/>
      <c r="Q73" s="155"/>
      <c r="R73" s="115">
        <f>+E73*$D73</f>
        <v>0</v>
      </c>
    </row>
    <row r="74" spans="1:18" ht="11.25" customHeight="1" x14ac:dyDescent="0.2">
      <c r="A74" s="160" t="s">
        <v>54</v>
      </c>
      <c r="B74" s="161" t="s">
        <v>55</v>
      </c>
      <c r="C74" s="162"/>
      <c r="D74" s="163"/>
      <c r="E74" s="164"/>
      <c r="F74" s="165"/>
      <c r="G74" s="165"/>
      <c r="H74" s="165"/>
      <c r="I74" s="165"/>
      <c r="J74" s="165"/>
      <c r="K74" s="165"/>
      <c r="L74" s="165"/>
      <c r="M74" s="165"/>
      <c r="N74" s="165"/>
      <c r="O74" s="165"/>
      <c r="P74" s="165"/>
      <c r="Q74" s="165"/>
      <c r="R74" s="145"/>
    </row>
    <row r="75" spans="1:18" ht="11.25" customHeight="1" x14ac:dyDescent="0.2">
      <c r="A75" s="95">
        <v>22300</v>
      </c>
      <c r="B75" s="96" t="s">
        <v>155</v>
      </c>
      <c r="C75" s="97"/>
      <c r="D75" s="98"/>
      <c r="E75" s="99"/>
      <c r="F75" s="100"/>
      <c r="G75" s="100"/>
      <c r="H75" s="100"/>
      <c r="I75" s="100"/>
      <c r="J75" s="100"/>
      <c r="K75" s="100"/>
      <c r="L75" s="100"/>
      <c r="M75" s="100"/>
      <c r="N75" s="100"/>
      <c r="O75" s="100"/>
      <c r="P75" s="100"/>
      <c r="Q75" s="100"/>
      <c r="R75" s="101">
        <f>SUM(R76:R79)</f>
        <v>0</v>
      </c>
    </row>
    <row r="76" spans="1:18" ht="11.25" customHeight="1" x14ac:dyDescent="0.2">
      <c r="A76" s="166"/>
      <c r="B76" s="167" t="s">
        <v>175</v>
      </c>
      <c r="C76" s="168" t="s">
        <v>176</v>
      </c>
      <c r="D76" s="169"/>
      <c r="E76" s="170"/>
      <c r="F76" s="171"/>
      <c r="G76" s="171"/>
      <c r="H76" s="171"/>
      <c r="I76" s="171"/>
      <c r="J76" s="171"/>
      <c r="K76" s="171"/>
      <c r="L76" s="171"/>
      <c r="M76" s="171"/>
      <c r="N76" s="171"/>
      <c r="O76" s="171"/>
      <c r="P76" s="171"/>
      <c r="Q76" s="171"/>
      <c r="R76" s="172">
        <f>+E76*$D76</f>
        <v>0</v>
      </c>
    </row>
    <row r="77" spans="1:18" ht="11.25" customHeight="1" x14ac:dyDescent="0.2">
      <c r="A77" s="173"/>
      <c r="B77" s="174" t="s">
        <v>177</v>
      </c>
      <c r="C77" s="175" t="s">
        <v>176</v>
      </c>
      <c r="D77" s="130"/>
      <c r="E77" s="151"/>
      <c r="F77" s="155"/>
      <c r="G77" s="155"/>
      <c r="H77" s="155"/>
      <c r="I77" s="155"/>
      <c r="J77" s="155"/>
      <c r="K77" s="155"/>
      <c r="L77" s="155"/>
      <c r="M77" s="155"/>
      <c r="N77" s="155"/>
      <c r="O77" s="155"/>
      <c r="P77" s="155"/>
      <c r="Q77" s="155"/>
      <c r="R77" s="115">
        <f>+E77*$D77</f>
        <v>0</v>
      </c>
    </row>
    <row r="78" spans="1:18" ht="11.25" customHeight="1" x14ac:dyDescent="0.2">
      <c r="A78" s="154"/>
      <c r="B78" s="174" t="s">
        <v>178</v>
      </c>
      <c r="C78" s="175" t="s">
        <v>176</v>
      </c>
      <c r="D78" s="130"/>
      <c r="E78" s="151"/>
      <c r="F78" s="155"/>
      <c r="G78" s="155"/>
      <c r="H78" s="155"/>
      <c r="I78" s="155"/>
      <c r="J78" s="155"/>
      <c r="K78" s="155"/>
      <c r="L78" s="155"/>
      <c r="M78" s="155"/>
      <c r="N78" s="155"/>
      <c r="O78" s="155"/>
      <c r="P78" s="155"/>
      <c r="Q78" s="155"/>
      <c r="R78" s="115">
        <f>+E78*$D78</f>
        <v>0</v>
      </c>
    </row>
    <row r="79" spans="1:18" ht="11.25" customHeight="1" x14ac:dyDescent="0.2">
      <c r="A79" s="160" t="s">
        <v>54</v>
      </c>
      <c r="B79" s="161" t="s">
        <v>55</v>
      </c>
      <c r="C79" s="176"/>
      <c r="D79" s="163"/>
      <c r="E79" s="164"/>
      <c r="F79" s="165"/>
      <c r="G79" s="165"/>
      <c r="H79" s="165"/>
      <c r="I79" s="165"/>
      <c r="J79" s="165"/>
      <c r="K79" s="165"/>
      <c r="L79" s="165"/>
      <c r="M79" s="165"/>
      <c r="N79" s="165"/>
      <c r="O79" s="165"/>
      <c r="P79" s="165"/>
      <c r="Q79" s="165"/>
      <c r="R79" s="145"/>
    </row>
    <row r="80" spans="1:18" ht="11.25" customHeight="1" x14ac:dyDescent="0.2">
      <c r="A80" s="95">
        <v>22500</v>
      </c>
      <c r="B80" s="96" t="s">
        <v>120</v>
      </c>
      <c r="C80" s="97"/>
      <c r="D80" s="98"/>
      <c r="E80" s="99"/>
      <c r="F80" s="100"/>
      <c r="G80" s="100"/>
      <c r="H80" s="100"/>
      <c r="I80" s="100"/>
      <c r="J80" s="100"/>
      <c r="K80" s="100"/>
      <c r="L80" s="100"/>
      <c r="M80" s="100"/>
      <c r="N80" s="100"/>
      <c r="O80" s="100"/>
      <c r="P80" s="100"/>
      <c r="Q80" s="100"/>
      <c r="R80" s="101">
        <f>SUM(R81:R84)</f>
        <v>0</v>
      </c>
    </row>
    <row r="81" spans="1:18" ht="11.25" customHeight="1" x14ac:dyDescent="0.2">
      <c r="A81" s="177"/>
      <c r="B81" s="167" t="s">
        <v>179</v>
      </c>
      <c r="C81" s="168" t="s">
        <v>176</v>
      </c>
      <c r="D81" s="169"/>
      <c r="E81" s="170"/>
      <c r="F81" s="171"/>
      <c r="G81" s="171"/>
      <c r="H81" s="171"/>
      <c r="I81" s="171"/>
      <c r="J81" s="171"/>
      <c r="K81" s="171"/>
      <c r="L81" s="171"/>
      <c r="M81" s="171"/>
      <c r="N81" s="171"/>
      <c r="O81" s="171"/>
      <c r="P81" s="171"/>
      <c r="Q81" s="171"/>
      <c r="R81" s="172">
        <f>+E81*$D81</f>
        <v>0</v>
      </c>
    </row>
    <row r="82" spans="1:18" ht="11.25" customHeight="1" x14ac:dyDescent="0.2">
      <c r="A82" s="154"/>
      <c r="B82" s="174" t="s">
        <v>180</v>
      </c>
      <c r="C82" s="175" t="s">
        <v>176</v>
      </c>
      <c r="D82" s="130"/>
      <c r="E82" s="151"/>
      <c r="F82" s="156"/>
      <c r="G82" s="156"/>
      <c r="H82" s="156"/>
      <c r="I82" s="156"/>
      <c r="J82" s="156"/>
      <c r="K82" s="156"/>
      <c r="L82" s="156"/>
      <c r="M82" s="156"/>
      <c r="N82" s="156"/>
      <c r="O82" s="156"/>
      <c r="P82" s="156"/>
      <c r="Q82" s="156"/>
      <c r="R82" s="115">
        <f>+E82*$D82</f>
        <v>0</v>
      </c>
    </row>
    <row r="83" spans="1:18" ht="11.25" customHeight="1" x14ac:dyDescent="0.2">
      <c r="A83" s="154"/>
      <c r="B83" s="174" t="s">
        <v>181</v>
      </c>
      <c r="C83" s="175" t="s">
        <v>176</v>
      </c>
      <c r="D83" s="130"/>
      <c r="E83" s="151"/>
      <c r="F83" s="156"/>
      <c r="G83" s="156"/>
      <c r="H83" s="156"/>
      <c r="I83" s="156"/>
      <c r="J83" s="156"/>
      <c r="K83" s="156"/>
      <c r="L83" s="156"/>
      <c r="M83" s="156"/>
      <c r="N83" s="156"/>
      <c r="O83" s="156"/>
      <c r="P83" s="156"/>
      <c r="Q83" s="156"/>
      <c r="R83" s="115">
        <f>+E83*$D83</f>
        <v>0</v>
      </c>
    </row>
    <row r="84" spans="1:18" ht="11.25" customHeight="1" x14ac:dyDescent="0.2">
      <c r="A84" s="160" t="s">
        <v>54</v>
      </c>
      <c r="B84" s="161" t="s">
        <v>55</v>
      </c>
      <c r="C84" s="176"/>
      <c r="D84" s="163"/>
      <c r="E84" s="164"/>
      <c r="F84" s="178"/>
      <c r="G84" s="178"/>
      <c r="H84" s="178"/>
      <c r="I84" s="178"/>
      <c r="J84" s="178"/>
      <c r="K84" s="178"/>
      <c r="L84" s="178"/>
      <c r="M84" s="178"/>
      <c r="N84" s="178"/>
      <c r="O84" s="178"/>
      <c r="P84" s="178"/>
      <c r="Q84" s="178"/>
      <c r="R84" s="145"/>
    </row>
    <row r="85" spans="1:18" ht="11.25" customHeight="1" x14ac:dyDescent="0.2">
      <c r="A85" s="95">
        <v>22600</v>
      </c>
      <c r="B85" s="96" t="s">
        <v>121</v>
      </c>
      <c r="C85" s="97"/>
      <c r="D85" s="98"/>
      <c r="E85" s="99"/>
      <c r="F85" s="179"/>
      <c r="G85" s="179"/>
      <c r="H85" s="179"/>
      <c r="I85" s="179"/>
      <c r="J85" s="179"/>
      <c r="K85" s="179"/>
      <c r="L85" s="179"/>
      <c r="M85" s="179"/>
      <c r="N85" s="179"/>
      <c r="O85" s="179"/>
      <c r="P85" s="179"/>
      <c r="Q85" s="179"/>
      <c r="R85" s="101">
        <f>SUM(R86:R87)</f>
        <v>0</v>
      </c>
    </row>
    <row r="86" spans="1:18" ht="11.25" customHeight="1" x14ac:dyDescent="0.2">
      <c r="A86" s="177"/>
      <c r="B86" s="167" t="s">
        <v>182</v>
      </c>
      <c r="C86" s="168" t="s">
        <v>176</v>
      </c>
      <c r="D86" s="169"/>
      <c r="E86" s="170"/>
      <c r="F86" s="156"/>
      <c r="G86" s="156"/>
      <c r="H86" s="156"/>
      <c r="I86" s="156"/>
      <c r="J86" s="156"/>
      <c r="K86" s="156"/>
      <c r="L86" s="156"/>
      <c r="M86" s="156"/>
      <c r="N86" s="156"/>
      <c r="O86" s="156"/>
      <c r="P86" s="156"/>
      <c r="Q86" s="156"/>
      <c r="R86" s="172">
        <f>+E86*$D86</f>
        <v>0</v>
      </c>
    </row>
    <row r="87" spans="1:18" ht="11.25" customHeight="1" thickBot="1" x14ac:dyDescent="0.25">
      <c r="A87" s="139" t="s">
        <v>54</v>
      </c>
      <c r="B87" s="180" t="s">
        <v>55</v>
      </c>
      <c r="C87" s="181"/>
      <c r="D87" s="182"/>
      <c r="E87" s="183"/>
      <c r="F87" s="184"/>
      <c r="G87" s="184"/>
      <c r="H87" s="184"/>
      <c r="I87" s="184"/>
      <c r="J87" s="184"/>
      <c r="K87" s="184"/>
      <c r="L87" s="184"/>
      <c r="M87" s="184"/>
      <c r="N87" s="184"/>
      <c r="O87" s="184"/>
      <c r="P87" s="184"/>
      <c r="Q87" s="184"/>
      <c r="R87" s="185"/>
    </row>
    <row r="88" spans="1:18" ht="11.25" customHeight="1" x14ac:dyDescent="0.2">
      <c r="A88" s="88">
        <v>23000</v>
      </c>
      <c r="B88" s="89" t="s">
        <v>64</v>
      </c>
      <c r="C88" s="186"/>
      <c r="D88" s="187"/>
      <c r="E88" s="188"/>
      <c r="F88" s="189"/>
      <c r="G88" s="189"/>
      <c r="H88" s="189"/>
      <c r="I88" s="189"/>
      <c r="J88" s="189"/>
      <c r="K88" s="189"/>
      <c r="L88" s="189"/>
      <c r="M88" s="189"/>
      <c r="N88" s="189"/>
      <c r="O88" s="189"/>
      <c r="P88" s="189"/>
      <c r="Q88" s="189"/>
      <c r="R88" s="190">
        <f>R89</f>
        <v>0</v>
      </c>
    </row>
    <row r="89" spans="1:18" ht="11.25" customHeight="1" x14ac:dyDescent="0.2">
      <c r="A89" s="95">
        <v>23100</v>
      </c>
      <c r="B89" s="96" t="s">
        <v>309</v>
      </c>
      <c r="C89" s="191"/>
      <c r="D89" s="192"/>
      <c r="E89" s="193"/>
      <c r="F89" s="194"/>
      <c r="G89" s="194"/>
      <c r="H89" s="194"/>
      <c r="I89" s="194"/>
      <c r="J89" s="194"/>
      <c r="K89" s="194"/>
      <c r="L89" s="194"/>
      <c r="M89" s="194"/>
      <c r="N89" s="194"/>
      <c r="O89" s="194"/>
      <c r="P89" s="194"/>
      <c r="Q89" s="194"/>
      <c r="R89" s="195">
        <f>SUM(R90:R91)</f>
        <v>0</v>
      </c>
    </row>
    <row r="90" spans="1:18" ht="11.25" customHeight="1" x14ac:dyDescent="0.2">
      <c r="A90" s="196"/>
      <c r="B90" s="197" t="s">
        <v>65</v>
      </c>
      <c r="C90" s="198" t="s">
        <v>156</v>
      </c>
      <c r="D90" s="199"/>
      <c r="E90" s="170"/>
      <c r="F90" s="171"/>
      <c r="G90" s="171"/>
      <c r="H90" s="171"/>
      <c r="I90" s="171"/>
      <c r="J90" s="171"/>
      <c r="K90" s="171"/>
      <c r="L90" s="171"/>
      <c r="M90" s="171"/>
      <c r="N90" s="171"/>
      <c r="O90" s="171"/>
      <c r="P90" s="171"/>
      <c r="Q90" s="171"/>
      <c r="R90" s="172">
        <f>+E90*$D90</f>
        <v>0</v>
      </c>
    </row>
    <row r="91" spans="1:18" ht="11.25" customHeight="1" thickBot="1" x14ac:dyDescent="0.25">
      <c r="A91" s="200" t="s">
        <v>54</v>
      </c>
      <c r="B91" s="201" t="s">
        <v>55</v>
      </c>
      <c r="C91" s="202"/>
      <c r="D91" s="203"/>
      <c r="E91" s="183"/>
      <c r="F91" s="204"/>
      <c r="G91" s="204"/>
      <c r="H91" s="204"/>
      <c r="I91" s="204"/>
      <c r="J91" s="204"/>
      <c r="K91" s="204"/>
      <c r="L91" s="204"/>
      <c r="M91" s="204"/>
      <c r="N91" s="204"/>
      <c r="O91" s="204"/>
      <c r="P91" s="204"/>
      <c r="Q91" s="204"/>
      <c r="R91" s="185"/>
    </row>
    <row r="92" spans="1:18" ht="11.25" customHeight="1" x14ac:dyDescent="0.2">
      <c r="A92" s="88">
        <v>24000</v>
      </c>
      <c r="B92" s="89" t="s">
        <v>157</v>
      </c>
      <c r="C92" s="90"/>
      <c r="D92" s="205"/>
      <c r="E92" s="92"/>
      <c r="F92" s="206"/>
      <c r="G92" s="206"/>
      <c r="H92" s="206"/>
      <c r="I92" s="206"/>
      <c r="J92" s="206"/>
      <c r="K92" s="206"/>
      <c r="L92" s="206"/>
      <c r="M92" s="206"/>
      <c r="N92" s="206"/>
      <c r="O92" s="206"/>
      <c r="P92" s="206"/>
      <c r="Q92" s="206"/>
      <c r="R92" s="94">
        <f>R93</f>
        <v>0</v>
      </c>
    </row>
    <row r="93" spans="1:18" ht="11.25" customHeight="1" x14ac:dyDescent="0.2">
      <c r="A93" s="207">
        <v>24100</v>
      </c>
      <c r="B93" s="208" t="s">
        <v>158</v>
      </c>
      <c r="C93" s="209"/>
      <c r="D93" s="210"/>
      <c r="E93" s="211"/>
      <c r="F93" s="212"/>
      <c r="G93" s="212"/>
      <c r="H93" s="212"/>
      <c r="I93" s="212"/>
      <c r="J93" s="212"/>
      <c r="K93" s="212"/>
      <c r="L93" s="212"/>
      <c r="M93" s="212"/>
      <c r="N93" s="212"/>
      <c r="O93" s="212"/>
      <c r="P93" s="212"/>
      <c r="Q93" s="212"/>
      <c r="R93" s="213">
        <f>SUM(R94+R96+R98)</f>
        <v>0</v>
      </c>
    </row>
    <row r="94" spans="1:18" ht="11.25" customHeight="1" x14ac:dyDescent="0.2">
      <c r="A94" s="214">
        <v>24110</v>
      </c>
      <c r="B94" s="215" t="s">
        <v>159</v>
      </c>
      <c r="C94" s="216"/>
      <c r="D94" s="217"/>
      <c r="E94" s="218"/>
      <c r="F94" s="219"/>
      <c r="G94" s="219"/>
      <c r="H94" s="219"/>
      <c r="I94" s="219"/>
      <c r="J94" s="219"/>
      <c r="K94" s="219"/>
      <c r="L94" s="219"/>
      <c r="M94" s="219"/>
      <c r="N94" s="219"/>
      <c r="O94" s="219"/>
      <c r="P94" s="219"/>
      <c r="Q94" s="219"/>
      <c r="R94" s="220">
        <f>SUM(R95)</f>
        <v>0</v>
      </c>
    </row>
    <row r="95" spans="1:18" ht="11.25" customHeight="1" x14ac:dyDescent="0.2">
      <c r="A95" s="221"/>
      <c r="B95" s="174" t="s">
        <v>159</v>
      </c>
      <c r="C95" s="175" t="s">
        <v>176</v>
      </c>
      <c r="D95" s="130"/>
      <c r="E95" s="151"/>
      <c r="F95" s="114"/>
      <c r="G95" s="114"/>
      <c r="H95" s="114"/>
      <c r="I95" s="114"/>
      <c r="J95" s="114"/>
      <c r="K95" s="114"/>
      <c r="L95" s="114"/>
      <c r="M95" s="114"/>
      <c r="N95" s="114"/>
      <c r="O95" s="114"/>
      <c r="P95" s="114"/>
      <c r="Q95" s="114"/>
      <c r="R95" s="115">
        <f>+E95*$D95</f>
        <v>0</v>
      </c>
    </row>
    <row r="96" spans="1:18" ht="11.25" customHeight="1" x14ac:dyDescent="0.2">
      <c r="A96" s="122">
        <v>24120</v>
      </c>
      <c r="B96" s="123" t="s">
        <v>183</v>
      </c>
      <c r="C96" s="222"/>
      <c r="D96" s="223"/>
      <c r="E96" s="224"/>
      <c r="F96" s="225"/>
      <c r="G96" s="225"/>
      <c r="H96" s="225"/>
      <c r="I96" s="225"/>
      <c r="J96" s="225"/>
      <c r="K96" s="225"/>
      <c r="L96" s="225"/>
      <c r="M96" s="225"/>
      <c r="N96" s="225"/>
      <c r="O96" s="225"/>
      <c r="P96" s="225"/>
      <c r="Q96" s="225"/>
      <c r="R96" s="226">
        <f>SUM(R97)</f>
        <v>0</v>
      </c>
    </row>
    <row r="97" spans="1:18" ht="11.25" customHeight="1" x14ac:dyDescent="0.2">
      <c r="A97" s="221"/>
      <c r="B97" s="174" t="s">
        <v>183</v>
      </c>
      <c r="C97" s="175" t="s">
        <v>176</v>
      </c>
      <c r="D97" s="130"/>
      <c r="E97" s="151"/>
      <c r="F97" s="114"/>
      <c r="G97" s="114"/>
      <c r="H97" s="114"/>
      <c r="I97" s="114"/>
      <c r="J97" s="114"/>
      <c r="K97" s="114"/>
      <c r="L97" s="114"/>
      <c r="M97" s="114"/>
      <c r="N97" s="114"/>
      <c r="O97" s="114"/>
      <c r="P97" s="114"/>
      <c r="Q97" s="114"/>
      <c r="R97" s="115">
        <f>+E97*$D97</f>
        <v>0</v>
      </c>
    </row>
    <row r="98" spans="1:18" ht="11.25" customHeight="1" x14ac:dyDescent="0.2">
      <c r="A98" s="122">
        <v>24130</v>
      </c>
      <c r="B98" s="123" t="s">
        <v>160</v>
      </c>
      <c r="C98" s="222"/>
      <c r="D98" s="223"/>
      <c r="E98" s="224"/>
      <c r="F98" s="225"/>
      <c r="G98" s="225"/>
      <c r="H98" s="225"/>
      <c r="I98" s="225"/>
      <c r="J98" s="225"/>
      <c r="K98" s="225"/>
      <c r="L98" s="225"/>
      <c r="M98" s="225"/>
      <c r="N98" s="225"/>
      <c r="O98" s="225"/>
      <c r="P98" s="225"/>
      <c r="Q98" s="225"/>
      <c r="R98" s="226">
        <f>SUM(R99:R100)</f>
        <v>0</v>
      </c>
    </row>
    <row r="99" spans="1:18" ht="11.25" customHeight="1" x14ac:dyDescent="0.2">
      <c r="A99" s="221"/>
      <c r="B99" s="174" t="s">
        <v>160</v>
      </c>
      <c r="C99" s="175" t="s">
        <v>176</v>
      </c>
      <c r="D99" s="130"/>
      <c r="E99" s="151"/>
      <c r="F99" s="114"/>
      <c r="G99" s="114"/>
      <c r="H99" s="114"/>
      <c r="I99" s="114"/>
      <c r="J99" s="114"/>
      <c r="K99" s="114"/>
      <c r="L99" s="114"/>
      <c r="M99" s="114"/>
      <c r="N99" s="114"/>
      <c r="O99" s="114"/>
      <c r="P99" s="114"/>
      <c r="Q99" s="114"/>
      <c r="R99" s="115">
        <f>+E99*$D99</f>
        <v>0</v>
      </c>
    </row>
    <row r="100" spans="1:18" ht="11.25" customHeight="1" thickBot="1" x14ac:dyDescent="0.25">
      <c r="A100" s="200" t="s">
        <v>54</v>
      </c>
      <c r="B100" s="227" t="s">
        <v>55</v>
      </c>
      <c r="C100" s="228"/>
      <c r="D100" s="229"/>
      <c r="E100" s="230"/>
      <c r="F100" s="231"/>
      <c r="G100" s="231"/>
      <c r="H100" s="231"/>
      <c r="I100" s="231"/>
      <c r="J100" s="231"/>
      <c r="K100" s="231"/>
      <c r="L100" s="231"/>
      <c r="M100" s="231"/>
      <c r="N100" s="231"/>
      <c r="O100" s="231"/>
      <c r="P100" s="231"/>
      <c r="Q100" s="231"/>
      <c r="R100" s="232"/>
    </row>
    <row r="101" spans="1:18" ht="11.25" customHeight="1" x14ac:dyDescent="0.2">
      <c r="A101" s="88">
        <v>25000</v>
      </c>
      <c r="B101" s="89" t="s">
        <v>124</v>
      </c>
      <c r="C101" s="90"/>
      <c r="D101" s="91"/>
      <c r="E101" s="233"/>
      <c r="F101" s="234"/>
      <c r="G101" s="234"/>
      <c r="H101" s="234"/>
      <c r="I101" s="234"/>
      <c r="J101" s="234"/>
      <c r="K101" s="234"/>
      <c r="L101" s="234"/>
      <c r="M101" s="234"/>
      <c r="N101" s="234"/>
      <c r="O101" s="234"/>
      <c r="P101" s="234"/>
      <c r="Q101" s="234"/>
      <c r="R101" s="94">
        <f>R102+R111+R114+R117+R120+R128</f>
        <v>0</v>
      </c>
    </row>
    <row r="102" spans="1:18" ht="11.25" customHeight="1" x14ac:dyDescent="0.2">
      <c r="A102" s="95">
        <v>25200</v>
      </c>
      <c r="B102" s="96" t="s">
        <v>161</v>
      </c>
      <c r="C102" s="191"/>
      <c r="D102" s="235"/>
      <c r="E102" s="193"/>
      <c r="F102" s="194"/>
      <c r="G102" s="194"/>
      <c r="H102" s="194"/>
      <c r="I102" s="194"/>
      <c r="J102" s="194"/>
      <c r="K102" s="194"/>
      <c r="L102" s="194"/>
      <c r="M102" s="194"/>
      <c r="N102" s="194"/>
      <c r="O102" s="194"/>
      <c r="P102" s="194"/>
      <c r="Q102" s="194"/>
      <c r="R102" s="195">
        <f>SUM(R103+R105+R108)</f>
        <v>0</v>
      </c>
    </row>
    <row r="103" spans="1:18" ht="11.25" customHeight="1" x14ac:dyDescent="0.2">
      <c r="A103" s="102">
        <v>25210</v>
      </c>
      <c r="B103" s="236" t="s">
        <v>310</v>
      </c>
      <c r="C103" s="237"/>
      <c r="D103" s="238"/>
      <c r="E103" s="239"/>
      <c r="F103" s="240"/>
      <c r="G103" s="240"/>
      <c r="H103" s="240"/>
      <c r="I103" s="240"/>
      <c r="J103" s="240"/>
      <c r="K103" s="240"/>
      <c r="L103" s="240"/>
      <c r="M103" s="240"/>
      <c r="N103" s="240"/>
      <c r="O103" s="240"/>
      <c r="P103" s="240"/>
      <c r="Q103" s="240"/>
      <c r="R103" s="241">
        <f>SUM(R104)</f>
        <v>0</v>
      </c>
    </row>
    <row r="104" spans="1:18" ht="11.25" customHeight="1" x14ac:dyDescent="0.2">
      <c r="A104" s="173"/>
      <c r="B104" s="175" t="s">
        <v>184</v>
      </c>
      <c r="C104" s="174" t="s">
        <v>185</v>
      </c>
      <c r="D104" s="121"/>
      <c r="E104" s="242"/>
      <c r="F104" s="114"/>
      <c r="G104" s="114"/>
      <c r="H104" s="114"/>
      <c r="I104" s="114"/>
      <c r="J104" s="114"/>
      <c r="K104" s="114"/>
      <c r="L104" s="114"/>
      <c r="M104" s="114"/>
      <c r="N104" s="114"/>
      <c r="O104" s="114"/>
      <c r="P104" s="114"/>
      <c r="Q104" s="114"/>
      <c r="R104" s="115">
        <f>+E104*$D104</f>
        <v>0</v>
      </c>
    </row>
    <row r="105" spans="1:18" ht="11.25" customHeight="1" x14ac:dyDescent="0.2">
      <c r="A105" s="122">
        <v>25220</v>
      </c>
      <c r="B105" s="123" t="s">
        <v>311</v>
      </c>
      <c r="C105" s="222"/>
      <c r="D105" s="243"/>
      <c r="E105" s="244"/>
      <c r="F105" s="225"/>
      <c r="G105" s="225"/>
      <c r="H105" s="225"/>
      <c r="I105" s="225"/>
      <c r="J105" s="225"/>
      <c r="K105" s="225"/>
      <c r="L105" s="225"/>
      <c r="M105" s="225"/>
      <c r="N105" s="225"/>
      <c r="O105" s="225"/>
      <c r="P105" s="225"/>
      <c r="Q105" s="225"/>
      <c r="R105" s="226">
        <f>SUM(R106:R107)</f>
        <v>0</v>
      </c>
    </row>
    <row r="106" spans="1:18" ht="11.25" customHeight="1" x14ac:dyDescent="0.2">
      <c r="A106" s="173"/>
      <c r="B106" s="175" t="s">
        <v>184</v>
      </c>
      <c r="C106" s="174" t="s">
        <v>185</v>
      </c>
      <c r="D106" s="121"/>
      <c r="E106" s="242"/>
      <c r="F106" s="114"/>
      <c r="G106" s="114"/>
      <c r="H106" s="114"/>
      <c r="I106" s="114"/>
      <c r="J106" s="114"/>
      <c r="K106" s="114"/>
      <c r="L106" s="114"/>
      <c r="M106" s="114"/>
      <c r="N106" s="114"/>
      <c r="O106" s="114"/>
      <c r="P106" s="114"/>
      <c r="Q106" s="114"/>
      <c r="R106" s="115">
        <f>+E106*$D106</f>
        <v>0</v>
      </c>
    </row>
    <row r="107" spans="1:18" ht="11.25" customHeight="1" x14ac:dyDescent="0.2">
      <c r="A107" s="173"/>
      <c r="B107" s="175" t="s">
        <v>186</v>
      </c>
      <c r="C107" s="174" t="s">
        <v>185</v>
      </c>
      <c r="D107" s="121"/>
      <c r="E107" s="244"/>
      <c r="F107" s="225"/>
      <c r="G107" s="225"/>
      <c r="H107" s="225"/>
      <c r="I107" s="225"/>
      <c r="J107" s="225"/>
      <c r="K107" s="225"/>
      <c r="L107" s="225"/>
      <c r="M107" s="225"/>
      <c r="N107" s="225"/>
      <c r="O107" s="225"/>
      <c r="P107" s="225"/>
      <c r="Q107" s="225"/>
      <c r="R107" s="115">
        <f>+E107*$D107</f>
        <v>0</v>
      </c>
    </row>
    <row r="108" spans="1:18" ht="11.25" customHeight="1" x14ac:dyDescent="0.2">
      <c r="A108" s="122">
        <v>25230</v>
      </c>
      <c r="B108" s="123" t="s">
        <v>162</v>
      </c>
      <c r="C108" s="222"/>
      <c r="D108" s="243"/>
      <c r="E108" s="244"/>
      <c r="F108" s="225"/>
      <c r="G108" s="225"/>
      <c r="H108" s="225"/>
      <c r="I108" s="225"/>
      <c r="J108" s="225"/>
      <c r="K108" s="225"/>
      <c r="L108" s="225"/>
      <c r="M108" s="225"/>
      <c r="N108" s="225"/>
      <c r="O108" s="225"/>
      <c r="P108" s="225"/>
      <c r="Q108" s="225"/>
      <c r="R108" s="226">
        <f>SUM(R109:R110)</f>
        <v>0</v>
      </c>
    </row>
    <row r="109" spans="1:18" ht="11.25" customHeight="1" x14ac:dyDescent="0.2">
      <c r="A109" s="173"/>
      <c r="B109" s="175" t="s">
        <v>184</v>
      </c>
      <c r="C109" s="174" t="s">
        <v>185</v>
      </c>
      <c r="D109" s="121"/>
      <c r="E109" s="242"/>
      <c r="F109" s="114"/>
      <c r="G109" s="114"/>
      <c r="H109" s="114"/>
      <c r="I109" s="114"/>
      <c r="J109" s="114"/>
      <c r="K109" s="114"/>
      <c r="L109" s="114"/>
      <c r="M109" s="114"/>
      <c r="N109" s="114"/>
      <c r="O109" s="114"/>
      <c r="P109" s="114"/>
      <c r="Q109" s="114"/>
      <c r="R109" s="115">
        <f>+E109*$D109</f>
        <v>0</v>
      </c>
    </row>
    <row r="110" spans="1:18" ht="11.25" customHeight="1" x14ac:dyDescent="0.2">
      <c r="A110" s="160" t="s">
        <v>54</v>
      </c>
      <c r="B110" s="161" t="s">
        <v>55</v>
      </c>
      <c r="C110" s="245"/>
      <c r="D110" s="246"/>
      <c r="E110" s="247"/>
      <c r="F110" s="184"/>
      <c r="G110" s="184"/>
      <c r="H110" s="184"/>
      <c r="I110" s="184"/>
      <c r="J110" s="184"/>
      <c r="K110" s="184"/>
      <c r="L110" s="184"/>
      <c r="M110" s="184"/>
      <c r="N110" s="184"/>
      <c r="O110" s="184"/>
      <c r="P110" s="184"/>
      <c r="Q110" s="184"/>
      <c r="R110" s="185"/>
    </row>
    <row r="111" spans="1:18" ht="11.25" customHeight="1" x14ac:dyDescent="0.2">
      <c r="A111" s="95">
        <v>25300</v>
      </c>
      <c r="B111" s="96" t="s">
        <v>163</v>
      </c>
      <c r="C111" s="191"/>
      <c r="D111" s="235"/>
      <c r="E111" s="193"/>
      <c r="F111" s="194"/>
      <c r="G111" s="194"/>
      <c r="H111" s="194"/>
      <c r="I111" s="194"/>
      <c r="J111" s="194"/>
      <c r="K111" s="194"/>
      <c r="L111" s="194"/>
      <c r="M111" s="194"/>
      <c r="N111" s="194"/>
      <c r="O111" s="194"/>
      <c r="P111" s="194"/>
      <c r="Q111" s="194"/>
      <c r="R111" s="195">
        <f>SUM(R112:R113)</f>
        <v>0</v>
      </c>
    </row>
    <row r="112" spans="1:18" ht="11.25" customHeight="1" x14ac:dyDescent="0.2">
      <c r="A112" s="248"/>
      <c r="B112" s="168" t="s">
        <v>163</v>
      </c>
      <c r="C112" s="167" t="s">
        <v>176</v>
      </c>
      <c r="D112" s="249"/>
      <c r="E112" s="183"/>
      <c r="F112" s="184"/>
      <c r="G112" s="184"/>
      <c r="H112" s="184"/>
      <c r="I112" s="184"/>
      <c r="J112" s="184"/>
      <c r="K112" s="184"/>
      <c r="L112" s="184"/>
      <c r="M112" s="184"/>
      <c r="N112" s="184"/>
      <c r="O112" s="184"/>
      <c r="P112" s="184"/>
      <c r="Q112" s="184"/>
      <c r="R112" s="185">
        <f>+E112*$D112</f>
        <v>0</v>
      </c>
    </row>
    <row r="113" spans="1:18" ht="11.25" customHeight="1" x14ac:dyDescent="0.2">
      <c r="A113" s="160" t="s">
        <v>54</v>
      </c>
      <c r="B113" s="161" t="s">
        <v>55</v>
      </c>
      <c r="C113" s="245"/>
      <c r="D113" s="250"/>
      <c r="E113" s="164"/>
      <c r="F113" s="178"/>
      <c r="G113" s="178"/>
      <c r="H113" s="178"/>
      <c r="I113" s="178"/>
      <c r="J113" s="178"/>
      <c r="K113" s="178"/>
      <c r="L113" s="178"/>
      <c r="M113" s="178"/>
      <c r="N113" s="178"/>
      <c r="O113" s="178"/>
      <c r="P113" s="178"/>
      <c r="Q113" s="178"/>
      <c r="R113" s="145"/>
    </row>
    <row r="114" spans="1:18" ht="11.25" customHeight="1" x14ac:dyDescent="0.2">
      <c r="A114" s="95">
        <v>25400</v>
      </c>
      <c r="B114" s="96" t="s">
        <v>312</v>
      </c>
      <c r="C114" s="191"/>
      <c r="D114" s="235"/>
      <c r="E114" s="193"/>
      <c r="F114" s="194"/>
      <c r="G114" s="194"/>
      <c r="H114" s="194"/>
      <c r="I114" s="194"/>
      <c r="J114" s="194"/>
      <c r="K114" s="194"/>
      <c r="L114" s="194"/>
      <c r="M114" s="194"/>
      <c r="N114" s="194"/>
      <c r="O114" s="194"/>
      <c r="P114" s="194"/>
      <c r="Q114" s="194"/>
      <c r="R114" s="195">
        <f>SUM(R115:R116)</f>
        <v>0</v>
      </c>
    </row>
    <row r="115" spans="1:18" ht="11.25" customHeight="1" x14ac:dyDescent="0.2">
      <c r="A115" s="248"/>
      <c r="B115" s="168" t="s">
        <v>187</v>
      </c>
      <c r="C115" s="167" t="s">
        <v>176</v>
      </c>
      <c r="D115" s="249"/>
      <c r="E115" s="183"/>
      <c r="F115" s="114"/>
      <c r="G115" s="114"/>
      <c r="H115" s="114"/>
      <c r="I115" s="114"/>
      <c r="J115" s="114"/>
      <c r="K115" s="114"/>
      <c r="L115" s="114"/>
      <c r="M115" s="114"/>
      <c r="N115" s="114"/>
      <c r="O115" s="114"/>
      <c r="P115" s="114"/>
      <c r="Q115" s="114"/>
      <c r="R115" s="172">
        <f>+E115*$D115</f>
        <v>0</v>
      </c>
    </row>
    <row r="116" spans="1:18" ht="11.25" customHeight="1" x14ac:dyDescent="0.2">
      <c r="A116" s="160" t="s">
        <v>54</v>
      </c>
      <c r="B116" s="161" t="s">
        <v>55</v>
      </c>
      <c r="C116" s="245"/>
      <c r="D116" s="250"/>
      <c r="E116" s="164"/>
      <c r="F116" s="178"/>
      <c r="G116" s="178"/>
      <c r="H116" s="178"/>
      <c r="I116" s="178"/>
      <c r="J116" s="178"/>
      <c r="K116" s="178"/>
      <c r="L116" s="178"/>
      <c r="M116" s="178"/>
      <c r="N116" s="178"/>
      <c r="O116" s="178"/>
      <c r="P116" s="178"/>
      <c r="Q116" s="178"/>
      <c r="R116" s="145"/>
    </row>
    <row r="117" spans="1:18" ht="11.25" customHeight="1" x14ac:dyDescent="0.2">
      <c r="A117" s="95">
        <v>25500</v>
      </c>
      <c r="B117" s="96" t="s">
        <v>127</v>
      </c>
      <c r="C117" s="191"/>
      <c r="D117" s="235"/>
      <c r="E117" s="193"/>
      <c r="F117" s="194"/>
      <c r="G117" s="194"/>
      <c r="H117" s="194"/>
      <c r="I117" s="194"/>
      <c r="J117" s="194"/>
      <c r="K117" s="194"/>
      <c r="L117" s="194"/>
      <c r="M117" s="194"/>
      <c r="N117" s="194"/>
      <c r="O117" s="194"/>
      <c r="P117" s="194"/>
      <c r="Q117" s="194"/>
      <c r="R117" s="195">
        <f>SUM(R118:R119)</f>
        <v>0</v>
      </c>
    </row>
    <row r="118" spans="1:18" ht="11.25" customHeight="1" x14ac:dyDescent="0.2">
      <c r="A118" s="248"/>
      <c r="B118" s="168" t="s">
        <v>127</v>
      </c>
      <c r="C118" s="167" t="s">
        <v>176</v>
      </c>
      <c r="D118" s="249"/>
      <c r="E118" s="183"/>
      <c r="F118" s="114"/>
      <c r="G118" s="114"/>
      <c r="H118" s="114"/>
      <c r="I118" s="114"/>
      <c r="J118" s="114"/>
      <c r="K118" s="114"/>
      <c r="L118" s="114"/>
      <c r="M118" s="114"/>
      <c r="N118" s="114"/>
      <c r="O118" s="114"/>
      <c r="P118" s="114"/>
      <c r="Q118" s="114"/>
      <c r="R118" s="172">
        <f>+E118*$D118</f>
        <v>0</v>
      </c>
    </row>
    <row r="119" spans="1:18" ht="11.25" customHeight="1" x14ac:dyDescent="0.2">
      <c r="A119" s="160" t="s">
        <v>54</v>
      </c>
      <c r="B119" s="161" t="s">
        <v>55</v>
      </c>
      <c r="C119" s="245"/>
      <c r="D119" s="250"/>
      <c r="E119" s="164"/>
      <c r="F119" s="178"/>
      <c r="G119" s="178"/>
      <c r="H119" s="178"/>
      <c r="I119" s="178"/>
      <c r="J119" s="178"/>
      <c r="K119" s="178"/>
      <c r="L119" s="178"/>
      <c r="M119" s="178"/>
      <c r="N119" s="178"/>
      <c r="O119" s="178"/>
      <c r="P119" s="178"/>
      <c r="Q119" s="178"/>
      <c r="R119" s="145"/>
    </row>
    <row r="120" spans="1:18" ht="11.25" customHeight="1" x14ac:dyDescent="0.2">
      <c r="A120" s="95">
        <v>25600</v>
      </c>
      <c r="B120" s="96" t="s">
        <v>164</v>
      </c>
      <c r="C120" s="191"/>
      <c r="D120" s="235"/>
      <c r="E120" s="193"/>
      <c r="F120" s="194"/>
      <c r="G120" s="194"/>
      <c r="H120" s="194"/>
      <c r="I120" s="194"/>
      <c r="J120" s="194"/>
      <c r="K120" s="194"/>
      <c r="L120" s="194"/>
      <c r="M120" s="194"/>
      <c r="N120" s="194"/>
      <c r="O120" s="194"/>
      <c r="P120" s="194"/>
      <c r="Q120" s="194"/>
      <c r="R120" s="195">
        <f>SUM(R121:R127)</f>
        <v>0</v>
      </c>
    </row>
    <row r="121" spans="1:18" ht="11.25" customHeight="1" x14ac:dyDescent="0.2">
      <c r="A121" s="177"/>
      <c r="B121" s="167" t="s">
        <v>188</v>
      </c>
      <c r="C121" s="251" t="s">
        <v>2</v>
      </c>
      <c r="D121" s="252"/>
      <c r="E121" s="253"/>
      <c r="F121" s="194"/>
      <c r="G121" s="194"/>
      <c r="H121" s="194"/>
      <c r="I121" s="194"/>
      <c r="J121" s="194"/>
      <c r="K121" s="194"/>
      <c r="L121" s="194"/>
      <c r="M121" s="194"/>
      <c r="N121" s="194"/>
      <c r="O121" s="194"/>
      <c r="P121" s="194"/>
      <c r="Q121" s="194"/>
      <c r="R121" s="172">
        <f t="shared" ref="R121:R126" si="4">+E121*$D121</f>
        <v>0</v>
      </c>
    </row>
    <row r="122" spans="1:18" ht="11.25" customHeight="1" x14ac:dyDescent="0.2">
      <c r="A122" s="154"/>
      <c r="B122" s="174" t="s">
        <v>189</v>
      </c>
      <c r="C122" s="254" t="s">
        <v>2</v>
      </c>
      <c r="D122" s="255"/>
      <c r="E122" s="113"/>
      <c r="F122" s="114"/>
      <c r="G122" s="114"/>
      <c r="H122" s="114"/>
      <c r="I122" s="114"/>
      <c r="J122" s="114"/>
      <c r="K122" s="114"/>
      <c r="L122" s="114"/>
      <c r="M122" s="114"/>
      <c r="N122" s="114"/>
      <c r="O122" s="114"/>
      <c r="P122" s="114"/>
      <c r="Q122" s="114"/>
      <c r="R122" s="115">
        <f t="shared" si="4"/>
        <v>0</v>
      </c>
    </row>
    <row r="123" spans="1:18" ht="11.25" customHeight="1" x14ac:dyDescent="0.2">
      <c r="A123" s="154"/>
      <c r="B123" s="174" t="s">
        <v>190</v>
      </c>
      <c r="C123" s="254" t="s">
        <v>191</v>
      </c>
      <c r="D123" s="256"/>
      <c r="E123" s="113"/>
      <c r="F123" s="114"/>
      <c r="G123" s="114"/>
      <c r="H123" s="114"/>
      <c r="I123" s="114"/>
      <c r="J123" s="114"/>
      <c r="K123" s="114"/>
      <c r="L123" s="114"/>
      <c r="M123" s="114"/>
      <c r="N123" s="114"/>
      <c r="O123" s="114"/>
      <c r="P123" s="114"/>
      <c r="Q123" s="114"/>
      <c r="R123" s="115">
        <f t="shared" si="4"/>
        <v>0</v>
      </c>
    </row>
    <row r="124" spans="1:18" ht="11.25" customHeight="1" x14ac:dyDescent="0.2">
      <c r="A124" s="257"/>
      <c r="B124" s="174" t="s">
        <v>357</v>
      </c>
      <c r="C124" s="254" t="s">
        <v>2</v>
      </c>
      <c r="D124" s="258"/>
      <c r="E124" s="259"/>
      <c r="F124" s="156"/>
      <c r="G124" s="156"/>
      <c r="H124" s="156"/>
      <c r="I124" s="156"/>
      <c r="J124" s="156"/>
      <c r="K124" s="156"/>
      <c r="L124" s="156"/>
      <c r="M124" s="156"/>
      <c r="N124" s="156"/>
      <c r="O124" s="156"/>
      <c r="P124" s="156"/>
      <c r="Q124" s="156"/>
      <c r="R124" s="115">
        <f t="shared" si="4"/>
        <v>0</v>
      </c>
    </row>
    <row r="125" spans="1:18" ht="11.25" customHeight="1" x14ac:dyDescent="0.2">
      <c r="A125" s="257"/>
      <c r="B125" s="174" t="s">
        <v>358</v>
      </c>
      <c r="C125" s="254" t="s">
        <v>2</v>
      </c>
      <c r="D125" s="259"/>
      <c r="E125" s="259"/>
      <c r="F125" s="156"/>
      <c r="G125" s="156"/>
      <c r="H125" s="156"/>
      <c r="I125" s="156"/>
      <c r="J125" s="156"/>
      <c r="K125" s="156"/>
      <c r="L125" s="156"/>
      <c r="M125" s="156"/>
      <c r="N125" s="156"/>
      <c r="O125" s="156"/>
      <c r="P125" s="156"/>
      <c r="Q125" s="156"/>
      <c r="R125" s="115">
        <f t="shared" si="4"/>
        <v>0</v>
      </c>
    </row>
    <row r="126" spans="1:18" ht="11.25" customHeight="1" x14ac:dyDescent="0.2">
      <c r="A126" s="257"/>
      <c r="B126" s="174" t="s">
        <v>359</v>
      </c>
      <c r="C126" s="254" t="s">
        <v>2</v>
      </c>
      <c r="D126" s="259"/>
      <c r="E126" s="259"/>
      <c r="F126" s="156"/>
      <c r="G126" s="156"/>
      <c r="H126" s="156"/>
      <c r="I126" s="156"/>
      <c r="J126" s="156"/>
      <c r="K126" s="156"/>
      <c r="L126" s="156"/>
      <c r="M126" s="156"/>
      <c r="N126" s="156"/>
      <c r="O126" s="156"/>
      <c r="P126" s="156"/>
      <c r="Q126" s="156"/>
      <c r="R126" s="115">
        <f t="shared" si="4"/>
        <v>0</v>
      </c>
    </row>
    <row r="127" spans="1:18" ht="11.25" customHeight="1" x14ac:dyDescent="0.2">
      <c r="A127" s="160" t="s">
        <v>54</v>
      </c>
      <c r="B127" s="161" t="s">
        <v>55</v>
      </c>
      <c r="C127" s="260"/>
      <c r="D127" s="250"/>
      <c r="E127" s="261"/>
      <c r="F127" s="262"/>
      <c r="G127" s="262"/>
      <c r="H127" s="262"/>
      <c r="I127" s="262"/>
      <c r="J127" s="262"/>
      <c r="K127" s="262"/>
      <c r="L127" s="262"/>
      <c r="M127" s="262"/>
      <c r="N127" s="262"/>
      <c r="O127" s="262"/>
      <c r="P127" s="262"/>
      <c r="Q127" s="262"/>
      <c r="R127" s="145"/>
    </row>
    <row r="128" spans="1:18" ht="11.25" customHeight="1" x14ac:dyDescent="0.2">
      <c r="A128" s="95">
        <v>25700</v>
      </c>
      <c r="B128" s="96" t="s">
        <v>165</v>
      </c>
      <c r="C128" s="191"/>
      <c r="D128" s="235"/>
      <c r="E128" s="193"/>
      <c r="F128" s="194"/>
      <c r="G128" s="194"/>
      <c r="H128" s="194"/>
      <c r="I128" s="194"/>
      <c r="J128" s="194"/>
      <c r="K128" s="194"/>
      <c r="L128" s="194"/>
      <c r="M128" s="194"/>
      <c r="N128" s="194"/>
      <c r="O128" s="194"/>
      <c r="P128" s="194"/>
      <c r="Q128" s="194"/>
      <c r="R128" s="195">
        <f>SUM(R129:R130)</f>
        <v>0</v>
      </c>
    </row>
    <row r="129" spans="1:18" ht="11.25" customHeight="1" x14ac:dyDescent="0.2">
      <c r="A129" s="248"/>
      <c r="B129" s="263" t="s">
        <v>192</v>
      </c>
      <c r="C129" s="181" t="s">
        <v>176</v>
      </c>
      <c r="D129" s="249"/>
      <c r="E129" s="183"/>
      <c r="F129" s="114"/>
      <c r="G129" s="114"/>
      <c r="H129" s="114"/>
      <c r="I129" s="114"/>
      <c r="J129" s="114"/>
      <c r="K129" s="114"/>
      <c r="L129" s="114"/>
      <c r="M129" s="114"/>
      <c r="N129" s="114"/>
      <c r="O129" s="114"/>
      <c r="P129" s="114"/>
      <c r="Q129" s="114"/>
      <c r="R129" s="185">
        <f>+E129*$D129</f>
        <v>0</v>
      </c>
    </row>
    <row r="130" spans="1:18" ht="11.25" customHeight="1" thickBot="1" x14ac:dyDescent="0.25">
      <c r="A130" s="264" t="s">
        <v>54</v>
      </c>
      <c r="B130" s="265" t="s">
        <v>55</v>
      </c>
      <c r="C130" s="266"/>
      <c r="D130" s="267"/>
      <c r="E130" s="230"/>
      <c r="F130" s="231"/>
      <c r="G130" s="231"/>
      <c r="H130" s="231"/>
      <c r="I130" s="231"/>
      <c r="J130" s="231"/>
      <c r="K130" s="231"/>
      <c r="L130" s="231"/>
      <c r="M130" s="231"/>
      <c r="N130" s="231"/>
      <c r="O130" s="231"/>
      <c r="P130" s="231"/>
      <c r="Q130" s="231"/>
      <c r="R130" s="232"/>
    </row>
    <row r="131" spans="1:18" ht="11.25" customHeight="1" x14ac:dyDescent="0.2">
      <c r="A131" s="88">
        <v>26000</v>
      </c>
      <c r="B131" s="89" t="s">
        <v>166</v>
      </c>
      <c r="C131" s="90"/>
      <c r="D131" s="91"/>
      <c r="E131" s="233"/>
      <c r="F131" s="234"/>
      <c r="G131" s="234"/>
      <c r="H131" s="234"/>
      <c r="I131" s="234"/>
      <c r="J131" s="234"/>
      <c r="K131" s="234"/>
      <c r="L131" s="234"/>
      <c r="M131" s="234"/>
      <c r="N131" s="234"/>
      <c r="O131" s="234"/>
      <c r="P131" s="234"/>
      <c r="Q131" s="234"/>
      <c r="R131" s="94">
        <f>R132+R135+R141</f>
        <v>0</v>
      </c>
    </row>
    <row r="132" spans="1:18" ht="11.25" customHeight="1" x14ac:dyDescent="0.2">
      <c r="A132" s="95">
        <v>26200</v>
      </c>
      <c r="B132" s="96" t="s">
        <v>129</v>
      </c>
      <c r="C132" s="191"/>
      <c r="D132" s="235"/>
      <c r="E132" s="193"/>
      <c r="F132" s="194"/>
      <c r="G132" s="194"/>
      <c r="H132" s="194"/>
      <c r="I132" s="194"/>
      <c r="J132" s="194"/>
      <c r="K132" s="194"/>
      <c r="L132" s="194"/>
      <c r="M132" s="194"/>
      <c r="N132" s="194"/>
      <c r="O132" s="194"/>
      <c r="P132" s="194"/>
      <c r="Q132" s="194"/>
      <c r="R132" s="195">
        <f>SUM(R133:R134)</f>
        <v>0</v>
      </c>
    </row>
    <row r="133" spans="1:18" ht="11.25" customHeight="1" x14ac:dyDescent="0.2">
      <c r="A133" s="248"/>
      <c r="B133" s="263" t="s">
        <v>313</v>
      </c>
      <c r="C133" s="181" t="s">
        <v>176</v>
      </c>
      <c r="D133" s="249"/>
      <c r="E133" s="183"/>
      <c r="F133" s="114"/>
      <c r="G133" s="114"/>
      <c r="H133" s="114"/>
      <c r="I133" s="114"/>
      <c r="J133" s="114"/>
      <c r="K133" s="114"/>
      <c r="L133" s="114"/>
      <c r="M133" s="114"/>
      <c r="N133" s="114"/>
      <c r="O133" s="114"/>
      <c r="P133" s="114"/>
      <c r="Q133" s="114"/>
      <c r="R133" s="185">
        <f>+E133*$D133</f>
        <v>0</v>
      </c>
    </row>
    <row r="134" spans="1:18" ht="11.25" customHeight="1" x14ac:dyDescent="0.2">
      <c r="A134" s="160" t="s">
        <v>54</v>
      </c>
      <c r="B134" s="161" t="s">
        <v>55</v>
      </c>
      <c r="C134" s="162"/>
      <c r="D134" s="250"/>
      <c r="E134" s="164"/>
      <c r="F134" s="178"/>
      <c r="G134" s="178"/>
      <c r="H134" s="178"/>
      <c r="I134" s="178"/>
      <c r="J134" s="178"/>
      <c r="K134" s="178"/>
      <c r="L134" s="178"/>
      <c r="M134" s="178"/>
      <c r="N134" s="178"/>
      <c r="O134" s="178"/>
      <c r="P134" s="178"/>
      <c r="Q134" s="178"/>
      <c r="R134" s="145"/>
    </row>
    <row r="135" spans="1:18" ht="11.25" customHeight="1" x14ac:dyDescent="0.2">
      <c r="A135" s="95">
        <v>26600</v>
      </c>
      <c r="B135" s="96" t="s">
        <v>167</v>
      </c>
      <c r="C135" s="191"/>
      <c r="D135" s="235"/>
      <c r="E135" s="193"/>
      <c r="F135" s="194"/>
      <c r="G135" s="194"/>
      <c r="H135" s="194"/>
      <c r="I135" s="194"/>
      <c r="J135" s="194"/>
      <c r="K135" s="194"/>
      <c r="L135" s="194"/>
      <c r="M135" s="194"/>
      <c r="N135" s="194"/>
      <c r="O135" s="194"/>
      <c r="P135" s="194"/>
      <c r="Q135" s="194"/>
      <c r="R135" s="195">
        <f>SUM(R136+R138)</f>
        <v>0</v>
      </c>
    </row>
    <row r="136" spans="1:18" ht="11.25" customHeight="1" x14ac:dyDescent="0.2">
      <c r="A136" s="102">
        <v>26610</v>
      </c>
      <c r="B136" s="236" t="s">
        <v>130</v>
      </c>
      <c r="C136" s="237"/>
      <c r="D136" s="268"/>
      <c r="E136" s="269"/>
      <c r="F136" s="270"/>
      <c r="G136" s="270"/>
      <c r="H136" s="270"/>
      <c r="I136" s="270"/>
      <c r="J136" s="270"/>
      <c r="K136" s="270"/>
      <c r="L136" s="270"/>
      <c r="M136" s="270"/>
      <c r="N136" s="270"/>
      <c r="O136" s="270"/>
      <c r="P136" s="270"/>
      <c r="Q136" s="270"/>
      <c r="R136" s="241">
        <f>SUM(R137)</f>
        <v>0</v>
      </c>
    </row>
    <row r="137" spans="1:18" ht="11.25" customHeight="1" x14ac:dyDescent="0.2">
      <c r="A137" s="173"/>
      <c r="B137" s="175" t="s">
        <v>193</v>
      </c>
      <c r="C137" s="174" t="s">
        <v>176</v>
      </c>
      <c r="D137" s="256"/>
      <c r="E137" s="151"/>
      <c r="F137" s="155"/>
      <c r="G137" s="155"/>
      <c r="H137" s="155"/>
      <c r="I137" s="155"/>
      <c r="J137" s="155"/>
      <c r="K137" s="155"/>
      <c r="L137" s="155"/>
      <c r="M137" s="155"/>
      <c r="N137" s="155"/>
      <c r="O137" s="155"/>
      <c r="P137" s="155"/>
      <c r="Q137" s="155"/>
      <c r="R137" s="115">
        <f>+E137*$D137</f>
        <v>0</v>
      </c>
    </row>
    <row r="138" spans="1:18" ht="11.25" customHeight="1" x14ac:dyDescent="0.2">
      <c r="A138" s="122">
        <v>26620</v>
      </c>
      <c r="B138" s="123" t="s">
        <v>168</v>
      </c>
      <c r="C138" s="222"/>
      <c r="D138" s="223"/>
      <c r="E138" s="224"/>
      <c r="F138" s="271"/>
      <c r="G138" s="271"/>
      <c r="H138" s="271"/>
      <c r="I138" s="271"/>
      <c r="J138" s="271"/>
      <c r="K138" s="271"/>
      <c r="L138" s="271"/>
      <c r="M138" s="271"/>
      <c r="N138" s="271"/>
      <c r="O138" s="271"/>
      <c r="P138" s="271"/>
      <c r="Q138" s="271"/>
      <c r="R138" s="226">
        <f>SUM(R139:R140)</f>
        <v>0</v>
      </c>
    </row>
    <row r="139" spans="1:18" ht="11.25" customHeight="1" x14ac:dyDescent="0.2">
      <c r="A139" s="173"/>
      <c r="B139" s="175" t="s">
        <v>194</v>
      </c>
      <c r="C139" s="174" t="s">
        <v>176</v>
      </c>
      <c r="D139" s="256"/>
      <c r="E139" s="151"/>
      <c r="F139" s="155"/>
      <c r="G139" s="155"/>
      <c r="H139" s="155"/>
      <c r="I139" s="155"/>
      <c r="J139" s="155"/>
      <c r="K139" s="155"/>
      <c r="L139" s="155"/>
      <c r="M139" s="155"/>
      <c r="N139" s="155"/>
      <c r="O139" s="155"/>
      <c r="P139" s="155"/>
      <c r="Q139" s="155"/>
      <c r="R139" s="115">
        <f>+E139*$D139</f>
        <v>0</v>
      </c>
    </row>
    <row r="140" spans="1:18" ht="11.25" customHeight="1" x14ac:dyDescent="0.2">
      <c r="A140" s="160" t="s">
        <v>54</v>
      </c>
      <c r="B140" s="161" t="s">
        <v>55</v>
      </c>
      <c r="C140" s="245"/>
      <c r="D140" s="249"/>
      <c r="E140" s="183"/>
      <c r="F140" s="204"/>
      <c r="G140" s="204"/>
      <c r="H140" s="204"/>
      <c r="I140" s="204"/>
      <c r="J140" s="204"/>
      <c r="K140" s="204"/>
      <c r="L140" s="204"/>
      <c r="M140" s="204"/>
      <c r="N140" s="204"/>
      <c r="O140" s="204"/>
      <c r="P140" s="204"/>
      <c r="Q140" s="204"/>
      <c r="R140" s="185"/>
    </row>
    <row r="141" spans="1:18" ht="11.25" customHeight="1" x14ac:dyDescent="0.2">
      <c r="A141" s="95">
        <v>26900</v>
      </c>
      <c r="B141" s="96" t="s">
        <v>169</v>
      </c>
      <c r="C141" s="191"/>
      <c r="D141" s="235"/>
      <c r="E141" s="193"/>
      <c r="F141" s="194"/>
      <c r="G141" s="194"/>
      <c r="H141" s="194"/>
      <c r="I141" s="194"/>
      <c r="J141" s="194"/>
      <c r="K141" s="194"/>
      <c r="L141" s="194"/>
      <c r="M141" s="194"/>
      <c r="N141" s="194"/>
      <c r="O141" s="194"/>
      <c r="P141" s="194"/>
      <c r="Q141" s="194"/>
      <c r="R141" s="272">
        <f>SUM(R142+R144)</f>
        <v>0</v>
      </c>
    </row>
    <row r="142" spans="1:18" ht="11.25" customHeight="1" x14ac:dyDescent="0.2">
      <c r="A142" s="102">
        <v>26910</v>
      </c>
      <c r="B142" s="236" t="s">
        <v>170</v>
      </c>
      <c r="C142" s="237"/>
      <c r="D142" s="268"/>
      <c r="E142" s="269"/>
      <c r="F142" s="240"/>
      <c r="G142" s="240"/>
      <c r="H142" s="240"/>
      <c r="I142" s="240"/>
      <c r="J142" s="240"/>
      <c r="K142" s="240"/>
      <c r="L142" s="240"/>
      <c r="M142" s="240"/>
      <c r="N142" s="240"/>
      <c r="O142" s="240"/>
      <c r="P142" s="240"/>
      <c r="Q142" s="240"/>
      <c r="R142" s="273">
        <f>SUM(R143)</f>
        <v>0</v>
      </c>
    </row>
    <row r="143" spans="1:18" ht="11.25" customHeight="1" x14ac:dyDescent="0.2">
      <c r="A143" s="173"/>
      <c r="B143" s="175" t="s">
        <v>195</v>
      </c>
      <c r="C143" s="174" t="s">
        <v>176</v>
      </c>
      <c r="D143" s="256"/>
      <c r="E143" s="151"/>
      <c r="F143" s="114"/>
      <c r="G143" s="114"/>
      <c r="H143" s="114"/>
      <c r="I143" s="114"/>
      <c r="J143" s="114"/>
      <c r="K143" s="114"/>
      <c r="L143" s="114"/>
      <c r="M143" s="114"/>
      <c r="N143" s="114"/>
      <c r="O143" s="114"/>
      <c r="P143" s="114"/>
      <c r="Q143" s="114"/>
      <c r="R143" s="274">
        <f>+E143*$D143</f>
        <v>0</v>
      </c>
    </row>
    <row r="144" spans="1:18" ht="11.25" customHeight="1" x14ac:dyDescent="0.2">
      <c r="A144" s="122">
        <v>26990</v>
      </c>
      <c r="B144" s="123" t="s">
        <v>131</v>
      </c>
      <c r="C144" s="222"/>
      <c r="D144" s="223"/>
      <c r="E144" s="224"/>
      <c r="F144" s="225"/>
      <c r="G144" s="225"/>
      <c r="H144" s="225"/>
      <c r="I144" s="225"/>
      <c r="J144" s="225"/>
      <c r="K144" s="225"/>
      <c r="L144" s="225"/>
      <c r="M144" s="225"/>
      <c r="N144" s="225"/>
      <c r="O144" s="225"/>
      <c r="P144" s="225"/>
      <c r="Q144" s="225"/>
      <c r="R144" s="275">
        <f>SUM(R145:R146)</f>
        <v>0</v>
      </c>
    </row>
    <row r="145" spans="1:18" ht="11.25" customHeight="1" x14ac:dyDescent="0.2">
      <c r="A145" s="173"/>
      <c r="B145" s="175" t="s">
        <v>196</v>
      </c>
      <c r="C145" s="174" t="s">
        <v>176</v>
      </c>
      <c r="D145" s="256"/>
      <c r="E145" s="151"/>
      <c r="F145" s="114"/>
      <c r="G145" s="114"/>
      <c r="H145" s="114"/>
      <c r="I145" s="114"/>
      <c r="J145" s="114"/>
      <c r="K145" s="114"/>
      <c r="L145" s="114"/>
      <c r="M145" s="114"/>
      <c r="N145" s="114"/>
      <c r="O145" s="114"/>
      <c r="P145" s="114"/>
      <c r="Q145" s="114"/>
      <c r="R145" s="274">
        <f>+E145*$D145</f>
        <v>0</v>
      </c>
    </row>
    <row r="146" spans="1:18" ht="11.25" customHeight="1" thickBot="1" x14ac:dyDescent="0.25">
      <c r="A146" s="276" t="s">
        <v>54</v>
      </c>
      <c r="B146" s="277" t="s">
        <v>55</v>
      </c>
      <c r="C146" s="278"/>
      <c r="D146" s="279"/>
      <c r="E146" s="280"/>
      <c r="F146" s="281"/>
      <c r="G146" s="281"/>
      <c r="H146" s="281"/>
      <c r="I146" s="281"/>
      <c r="J146" s="281"/>
      <c r="K146" s="281"/>
      <c r="L146" s="281"/>
      <c r="M146" s="281"/>
      <c r="N146" s="281"/>
      <c r="O146" s="281"/>
      <c r="P146" s="281"/>
      <c r="Q146" s="281"/>
      <c r="R146" s="282"/>
    </row>
    <row r="147" spans="1:18" ht="11.25" customHeight="1" thickTop="1" thickBot="1" x14ac:dyDescent="0.25">
      <c r="A147" s="592">
        <v>30000</v>
      </c>
      <c r="B147" s="593" t="s">
        <v>67</v>
      </c>
      <c r="C147" s="594"/>
      <c r="D147" s="595"/>
      <c r="E147" s="596"/>
      <c r="F147" s="597"/>
      <c r="G147" s="597"/>
      <c r="H147" s="597"/>
      <c r="I147" s="597"/>
      <c r="J147" s="597"/>
      <c r="K147" s="597"/>
      <c r="L147" s="597"/>
      <c r="M147" s="597"/>
      <c r="N147" s="597"/>
      <c r="O147" s="597"/>
      <c r="P147" s="597"/>
      <c r="Q147" s="597"/>
      <c r="R147" s="598">
        <f>R148+R155+R179+R191</f>
        <v>0</v>
      </c>
    </row>
    <row r="148" spans="1:18" ht="11.25" customHeight="1" x14ac:dyDescent="0.2">
      <c r="A148" s="283">
        <v>31000</v>
      </c>
      <c r="B148" s="284" t="s">
        <v>68</v>
      </c>
      <c r="C148" s="285"/>
      <c r="D148" s="286"/>
      <c r="E148" s="287"/>
      <c r="F148" s="288"/>
      <c r="G148" s="288"/>
      <c r="H148" s="288"/>
      <c r="I148" s="288"/>
      <c r="J148" s="288"/>
      <c r="K148" s="288"/>
      <c r="L148" s="288"/>
      <c r="M148" s="288"/>
      <c r="N148" s="288"/>
      <c r="O148" s="288"/>
      <c r="P148" s="288"/>
      <c r="Q148" s="288"/>
      <c r="R148" s="289">
        <f>R149</f>
        <v>0</v>
      </c>
    </row>
    <row r="149" spans="1:18" ht="11.25" customHeight="1" x14ac:dyDescent="0.2">
      <c r="A149" s="290">
        <v>31100</v>
      </c>
      <c r="B149" s="291" t="s">
        <v>69</v>
      </c>
      <c r="C149" s="292"/>
      <c r="D149" s="293"/>
      <c r="E149" s="193"/>
      <c r="F149" s="294"/>
      <c r="G149" s="294"/>
      <c r="H149" s="294"/>
      <c r="I149" s="294"/>
      <c r="J149" s="294"/>
      <c r="K149" s="294"/>
      <c r="L149" s="294"/>
      <c r="M149" s="294"/>
      <c r="N149" s="294"/>
      <c r="O149" s="294"/>
      <c r="P149" s="294"/>
      <c r="Q149" s="294"/>
      <c r="R149" s="195">
        <f>SUM(R150+R152)</f>
        <v>0</v>
      </c>
    </row>
    <row r="150" spans="1:18" ht="11.25" customHeight="1" x14ac:dyDescent="0.2">
      <c r="A150" s="102">
        <v>31110</v>
      </c>
      <c r="B150" s="236" t="s">
        <v>171</v>
      </c>
      <c r="C150" s="237"/>
      <c r="D150" s="295"/>
      <c r="E150" s="269"/>
      <c r="F150" s="270"/>
      <c r="G150" s="270"/>
      <c r="H150" s="270"/>
      <c r="I150" s="270"/>
      <c r="J150" s="270"/>
      <c r="K150" s="270"/>
      <c r="L150" s="270"/>
      <c r="M150" s="270"/>
      <c r="N150" s="270"/>
      <c r="O150" s="270"/>
      <c r="P150" s="270"/>
      <c r="Q150" s="270"/>
      <c r="R150" s="296">
        <f>SUM(R151)</f>
        <v>0</v>
      </c>
    </row>
    <row r="151" spans="1:18" ht="11.25" customHeight="1" x14ac:dyDescent="0.2">
      <c r="A151" s="297"/>
      <c r="B151" s="298" t="s">
        <v>172</v>
      </c>
      <c r="C151" s="110" t="s">
        <v>2</v>
      </c>
      <c r="D151" s="130"/>
      <c r="E151" s="135"/>
      <c r="F151" s="136"/>
      <c r="G151" s="136"/>
      <c r="H151" s="136"/>
      <c r="I151" s="136"/>
      <c r="J151" s="136"/>
      <c r="K151" s="136"/>
      <c r="L151" s="136"/>
      <c r="M151" s="136"/>
      <c r="N151" s="136"/>
      <c r="O151" s="136"/>
      <c r="P151" s="136"/>
      <c r="Q151" s="136"/>
      <c r="R151" s="115">
        <f>+E151*$D151</f>
        <v>0</v>
      </c>
    </row>
    <row r="152" spans="1:18" ht="11.25" customHeight="1" x14ac:dyDescent="0.2">
      <c r="A152" s="122">
        <v>31120</v>
      </c>
      <c r="B152" s="123" t="s">
        <v>173</v>
      </c>
      <c r="C152" s="222"/>
      <c r="D152" s="223"/>
      <c r="E152" s="224"/>
      <c r="F152" s="271"/>
      <c r="G152" s="271"/>
      <c r="H152" s="271"/>
      <c r="I152" s="271"/>
      <c r="J152" s="271"/>
      <c r="K152" s="271"/>
      <c r="L152" s="271"/>
      <c r="M152" s="271"/>
      <c r="N152" s="271"/>
      <c r="O152" s="271"/>
      <c r="P152" s="271"/>
      <c r="Q152" s="271"/>
      <c r="R152" s="226">
        <f>SUM(R153:R154)</f>
        <v>0</v>
      </c>
    </row>
    <row r="153" spans="1:18" ht="11.25" customHeight="1" x14ac:dyDescent="0.2">
      <c r="A153" s="297"/>
      <c r="B153" s="120" t="s">
        <v>174</v>
      </c>
      <c r="C153" s="110" t="s">
        <v>2</v>
      </c>
      <c r="D153" s="130"/>
      <c r="E153" s="135"/>
      <c r="F153" s="136"/>
      <c r="G153" s="136"/>
      <c r="H153" s="136"/>
      <c r="I153" s="136"/>
      <c r="J153" s="136"/>
      <c r="K153" s="136"/>
      <c r="L153" s="136"/>
      <c r="M153" s="136"/>
      <c r="N153" s="136"/>
      <c r="O153" s="136"/>
      <c r="P153" s="136"/>
      <c r="Q153" s="136"/>
      <c r="R153" s="115">
        <f>+E153*$D153</f>
        <v>0</v>
      </c>
    </row>
    <row r="154" spans="1:18" ht="11.25" customHeight="1" thickBot="1" x14ac:dyDescent="0.25">
      <c r="A154" s="299" t="s">
        <v>54</v>
      </c>
      <c r="B154" s="300" t="s">
        <v>55</v>
      </c>
      <c r="C154" s="301"/>
      <c r="D154" s="302"/>
      <c r="E154" s="303"/>
      <c r="F154" s="304"/>
      <c r="G154" s="304"/>
      <c r="H154" s="304"/>
      <c r="I154" s="304"/>
      <c r="J154" s="304"/>
      <c r="K154" s="304"/>
      <c r="L154" s="304"/>
      <c r="M154" s="304"/>
      <c r="N154" s="304"/>
      <c r="O154" s="304"/>
      <c r="P154" s="304"/>
      <c r="Q154" s="304"/>
      <c r="R154" s="305"/>
    </row>
    <row r="155" spans="1:18" ht="11.25" customHeight="1" x14ac:dyDescent="0.2">
      <c r="A155" s="306">
        <v>32000</v>
      </c>
      <c r="B155" s="307" t="s">
        <v>70</v>
      </c>
      <c r="C155" s="308"/>
      <c r="D155" s="309"/>
      <c r="E155" s="310"/>
      <c r="F155" s="311"/>
      <c r="G155" s="311"/>
      <c r="H155" s="311"/>
      <c r="I155" s="311"/>
      <c r="J155" s="311"/>
      <c r="K155" s="311"/>
      <c r="L155" s="311"/>
      <c r="M155" s="311"/>
      <c r="N155" s="311"/>
      <c r="O155" s="311"/>
      <c r="P155" s="311"/>
      <c r="Q155" s="311"/>
      <c r="R155" s="312">
        <f>R156+R169+R175</f>
        <v>0</v>
      </c>
    </row>
    <row r="156" spans="1:18" ht="11.25" customHeight="1" x14ac:dyDescent="0.2">
      <c r="A156" s="290">
        <v>32100</v>
      </c>
      <c r="B156" s="291" t="s">
        <v>71</v>
      </c>
      <c r="C156" s="97"/>
      <c r="D156" s="98"/>
      <c r="E156" s="313"/>
      <c r="F156" s="314"/>
      <c r="G156" s="314"/>
      <c r="H156" s="314"/>
      <c r="I156" s="314"/>
      <c r="J156" s="314"/>
      <c r="K156" s="314"/>
      <c r="L156" s="314"/>
      <c r="M156" s="314"/>
      <c r="N156" s="314"/>
      <c r="O156" s="314"/>
      <c r="P156" s="314"/>
      <c r="Q156" s="314"/>
      <c r="R156" s="315">
        <f>SUM(R157:R168)</f>
        <v>0</v>
      </c>
    </row>
    <row r="157" spans="1:18" ht="11.25" customHeight="1" x14ac:dyDescent="0.2">
      <c r="A157" s="139" t="s">
        <v>54</v>
      </c>
      <c r="B157" s="140" t="s">
        <v>242</v>
      </c>
      <c r="C157" s="181" t="s">
        <v>72</v>
      </c>
      <c r="D157" s="142"/>
      <c r="E157" s="316"/>
      <c r="F157" s="114"/>
      <c r="G157" s="114"/>
      <c r="H157" s="114"/>
      <c r="I157" s="114"/>
      <c r="J157" s="114"/>
      <c r="K157" s="114"/>
      <c r="L157" s="114"/>
      <c r="M157" s="114"/>
      <c r="N157" s="114"/>
      <c r="O157" s="114"/>
      <c r="P157" s="114"/>
      <c r="Q157" s="114"/>
      <c r="R157" s="317">
        <f t="shared" ref="R157:R167" si="5">+E157*$D157</f>
        <v>0</v>
      </c>
    </row>
    <row r="158" spans="1:18" ht="11.25" customHeight="1" x14ac:dyDescent="0.2">
      <c r="A158" s="264"/>
      <c r="B158" s="110" t="s">
        <v>243</v>
      </c>
      <c r="C158" s="110" t="s">
        <v>72</v>
      </c>
      <c r="D158" s="318"/>
      <c r="E158" s="242"/>
      <c r="F158" s="156"/>
      <c r="G158" s="156"/>
      <c r="H158" s="156"/>
      <c r="I158" s="156"/>
      <c r="J158" s="156"/>
      <c r="K158" s="156"/>
      <c r="L158" s="156"/>
      <c r="M158" s="156"/>
      <c r="N158" s="156"/>
      <c r="O158" s="156"/>
      <c r="P158" s="156"/>
      <c r="Q158" s="156"/>
      <c r="R158" s="274">
        <f t="shared" si="5"/>
        <v>0</v>
      </c>
    </row>
    <row r="159" spans="1:18" ht="11.25" customHeight="1" x14ac:dyDescent="0.2">
      <c r="A159" s="264"/>
      <c r="B159" s="120" t="s">
        <v>244</v>
      </c>
      <c r="C159" s="110" t="s">
        <v>72</v>
      </c>
      <c r="D159" s="318"/>
      <c r="E159" s="242"/>
      <c r="F159" s="156"/>
      <c r="G159" s="156"/>
      <c r="H159" s="156"/>
      <c r="I159" s="156"/>
      <c r="J159" s="156"/>
      <c r="K159" s="156"/>
      <c r="L159" s="156"/>
      <c r="M159" s="156"/>
      <c r="N159" s="156"/>
      <c r="O159" s="156"/>
      <c r="P159" s="156"/>
      <c r="Q159" s="156"/>
      <c r="R159" s="274">
        <f t="shared" si="5"/>
        <v>0</v>
      </c>
    </row>
    <row r="160" spans="1:18" ht="11.25" customHeight="1" x14ac:dyDescent="0.2">
      <c r="A160" s="264"/>
      <c r="B160" s="120" t="s">
        <v>245</v>
      </c>
      <c r="C160" s="110" t="s">
        <v>72</v>
      </c>
      <c r="D160" s="318"/>
      <c r="E160" s="242"/>
      <c r="F160" s="156"/>
      <c r="G160" s="156"/>
      <c r="H160" s="156"/>
      <c r="I160" s="156"/>
      <c r="J160" s="156"/>
      <c r="K160" s="156"/>
      <c r="L160" s="156"/>
      <c r="M160" s="156"/>
      <c r="N160" s="156"/>
      <c r="O160" s="156"/>
      <c r="P160" s="156"/>
      <c r="Q160" s="156"/>
      <c r="R160" s="274">
        <f t="shared" si="5"/>
        <v>0</v>
      </c>
    </row>
    <row r="161" spans="1:20" ht="11.25" customHeight="1" x14ac:dyDescent="0.2">
      <c r="A161" s="264"/>
      <c r="B161" s="120" t="s">
        <v>246</v>
      </c>
      <c r="C161" s="110" t="s">
        <v>72</v>
      </c>
      <c r="D161" s="318"/>
      <c r="E161" s="242"/>
      <c r="F161" s="156"/>
      <c r="G161" s="156"/>
      <c r="H161" s="156"/>
      <c r="I161" s="156"/>
      <c r="J161" s="156"/>
      <c r="K161" s="156"/>
      <c r="L161" s="156"/>
      <c r="M161" s="156"/>
      <c r="N161" s="156"/>
      <c r="O161" s="156"/>
      <c r="P161" s="156"/>
      <c r="Q161" s="156"/>
      <c r="R161" s="274">
        <f t="shared" si="5"/>
        <v>0</v>
      </c>
    </row>
    <row r="162" spans="1:20" ht="11.25" customHeight="1" x14ac:dyDescent="0.2">
      <c r="A162" s="264"/>
      <c r="B162" s="120" t="s">
        <v>247</v>
      </c>
      <c r="C162" s="120" t="s">
        <v>73</v>
      </c>
      <c r="D162" s="318"/>
      <c r="E162" s="319"/>
      <c r="F162" s="320"/>
      <c r="G162" s="320"/>
      <c r="H162" s="320"/>
      <c r="I162" s="320"/>
      <c r="J162" s="320"/>
      <c r="K162" s="320"/>
      <c r="L162" s="320"/>
      <c r="M162" s="320"/>
      <c r="N162" s="320"/>
      <c r="O162" s="320"/>
      <c r="P162" s="320"/>
      <c r="Q162" s="320"/>
      <c r="R162" s="274">
        <f t="shared" si="5"/>
        <v>0</v>
      </c>
    </row>
    <row r="163" spans="1:20" ht="11.25" customHeight="1" x14ac:dyDescent="0.2">
      <c r="A163" s="264"/>
      <c r="B163" s="120" t="s">
        <v>248</v>
      </c>
      <c r="C163" s="120" t="s">
        <v>249</v>
      </c>
      <c r="D163" s="318"/>
      <c r="E163" s="242"/>
      <c r="F163" s="156"/>
      <c r="G163" s="156"/>
      <c r="H163" s="156"/>
      <c r="I163" s="156"/>
      <c r="J163" s="156"/>
      <c r="K163" s="156"/>
      <c r="L163" s="156"/>
      <c r="M163" s="156"/>
      <c r="N163" s="156"/>
      <c r="O163" s="156"/>
      <c r="P163" s="156"/>
      <c r="Q163" s="156"/>
      <c r="R163" s="274">
        <f t="shared" si="5"/>
        <v>0</v>
      </c>
    </row>
    <row r="164" spans="1:20" ht="11.25" customHeight="1" x14ac:dyDescent="0.2">
      <c r="A164" s="264"/>
      <c r="B164" s="120" t="s">
        <v>250</v>
      </c>
      <c r="C164" s="120" t="s">
        <v>72</v>
      </c>
      <c r="D164" s="318"/>
      <c r="E164" s="242"/>
      <c r="F164" s="156"/>
      <c r="G164" s="156"/>
      <c r="H164" s="156"/>
      <c r="I164" s="156"/>
      <c r="J164" s="156"/>
      <c r="K164" s="156"/>
      <c r="L164" s="156"/>
      <c r="M164" s="156"/>
      <c r="N164" s="156"/>
      <c r="O164" s="156"/>
      <c r="P164" s="156"/>
      <c r="Q164" s="156"/>
      <c r="R164" s="274">
        <f t="shared" si="5"/>
        <v>0</v>
      </c>
    </row>
    <row r="165" spans="1:20" ht="11.25" customHeight="1" x14ac:dyDescent="0.2">
      <c r="A165" s="264"/>
      <c r="B165" s="120" t="s">
        <v>251</v>
      </c>
      <c r="C165" s="120" t="s">
        <v>249</v>
      </c>
      <c r="D165" s="318"/>
      <c r="E165" s="242"/>
      <c r="F165" s="156"/>
      <c r="G165" s="156"/>
      <c r="H165" s="156"/>
      <c r="I165" s="156"/>
      <c r="J165" s="156"/>
      <c r="K165" s="156"/>
      <c r="L165" s="156"/>
      <c r="M165" s="156"/>
      <c r="N165" s="156"/>
      <c r="O165" s="156"/>
      <c r="P165" s="156"/>
      <c r="Q165" s="156"/>
      <c r="R165" s="274">
        <f t="shared" si="5"/>
        <v>0</v>
      </c>
    </row>
    <row r="166" spans="1:20" ht="11.25" customHeight="1" x14ac:dyDescent="0.2">
      <c r="A166" s="264"/>
      <c r="B166" s="120" t="s">
        <v>77</v>
      </c>
      <c r="C166" s="120" t="s">
        <v>75</v>
      </c>
      <c r="D166" s="318"/>
      <c r="E166" s="242"/>
      <c r="F166" s="156"/>
      <c r="G166" s="156"/>
      <c r="H166" s="156"/>
      <c r="I166" s="156"/>
      <c r="J166" s="156"/>
      <c r="K166" s="156"/>
      <c r="L166" s="156"/>
      <c r="M166" s="156"/>
      <c r="N166" s="156"/>
      <c r="O166" s="156"/>
      <c r="P166" s="156"/>
      <c r="Q166" s="156"/>
      <c r="R166" s="274">
        <f t="shared" si="5"/>
        <v>0</v>
      </c>
    </row>
    <row r="167" spans="1:20" ht="11.25" customHeight="1" x14ac:dyDescent="0.2">
      <c r="A167" s="264"/>
      <c r="B167" s="120" t="s">
        <v>78</v>
      </c>
      <c r="C167" s="120" t="s">
        <v>75</v>
      </c>
      <c r="D167" s="318"/>
      <c r="E167" s="151"/>
      <c r="F167" s="155"/>
      <c r="G167" s="155"/>
      <c r="H167" s="155"/>
      <c r="I167" s="155"/>
      <c r="J167" s="155"/>
      <c r="K167" s="155"/>
      <c r="L167" s="155"/>
      <c r="M167" s="155"/>
      <c r="N167" s="155"/>
      <c r="O167" s="155"/>
      <c r="P167" s="155"/>
      <c r="Q167" s="155"/>
      <c r="R167" s="115">
        <f t="shared" si="5"/>
        <v>0</v>
      </c>
    </row>
    <row r="168" spans="1:20" ht="11.25" customHeight="1" x14ac:dyDescent="0.2">
      <c r="A168" s="139" t="s">
        <v>54</v>
      </c>
      <c r="B168" s="180" t="s">
        <v>55</v>
      </c>
      <c r="C168" s="321"/>
      <c r="D168" s="322"/>
      <c r="E168" s="323"/>
      <c r="F168" s="324"/>
      <c r="G168" s="324"/>
      <c r="H168" s="324"/>
      <c r="I168" s="324"/>
      <c r="J168" s="324"/>
      <c r="K168" s="324"/>
      <c r="L168" s="324"/>
      <c r="M168" s="324"/>
      <c r="N168" s="324"/>
      <c r="O168" s="324"/>
      <c r="P168" s="324"/>
      <c r="Q168" s="324"/>
      <c r="R168" s="325"/>
    </row>
    <row r="169" spans="1:20" ht="11.25" customHeight="1" x14ac:dyDescent="0.2">
      <c r="A169" s="290">
        <v>32200</v>
      </c>
      <c r="B169" s="96" t="s">
        <v>79</v>
      </c>
      <c r="C169" s="97"/>
      <c r="D169" s="326"/>
      <c r="E169" s="99"/>
      <c r="F169" s="100"/>
      <c r="G169" s="100"/>
      <c r="H169" s="100"/>
      <c r="I169" s="100"/>
      <c r="J169" s="100"/>
      <c r="K169" s="100"/>
      <c r="L169" s="100"/>
      <c r="M169" s="100"/>
      <c r="N169" s="100"/>
      <c r="O169" s="100"/>
      <c r="P169" s="100"/>
      <c r="Q169" s="100"/>
      <c r="R169" s="101">
        <f>SUM(R170:R174)</f>
        <v>0</v>
      </c>
    </row>
    <row r="170" spans="1:20" ht="11.25" customHeight="1" x14ac:dyDescent="0.2">
      <c r="A170" s="327"/>
      <c r="B170" s="328" t="s">
        <v>252</v>
      </c>
      <c r="C170" s="329" t="s">
        <v>75</v>
      </c>
      <c r="D170" s="330"/>
      <c r="E170" s="331"/>
      <c r="F170" s="332"/>
      <c r="G170" s="332"/>
      <c r="H170" s="332"/>
      <c r="I170" s="332"/>
      <c r="J170" s="332"/>
      <c r="K170" s="332"/>
      <c r="L170" s="332"/>
      <c r="M170" s="332"/>
      <c r="N170" s="332"/>
      <c r="O170" s="332"/>
      <c r="P170" s="332"/>
      <c r="Q170" s="332"/>
      <c r="R170" s="172">
        <f>+E170*$D170</f>
        <v>0</v>
      </c>
    </row>
    <row r="171" spans="1:20" ht="11.25" customHeight="1" x14ac:dyDescent="0.2">
      <c r="A171" s="297"/>
      <c r="B171" s="120" t="s">
        <v>74</v>
      </c>
      <c r="C171" s="120" t="s">
        <v>75</v>
      </c>
      <c r="D171" s="318"/>
      <c r="E171" s="151"/>
      <c r="F171" s="114"/>
      <c r="G171" s="114"/>
      <c r="H171" s="114"/>
      <c r="I171" s="114"/>
      <c r="J171" s="114"/>
      <c r="K171" s="114"/>
      <c r="L171" s="114"/>
      <c r="M171" s="114"/>
      <c r="N171" s="114"/>
      <c r="O171" s="114"/>
      <c r="P171" s="114"/>
      <c r="Q171" s="114"/>
      <c r="R171" s="115">
        <f>+E171*$D171</f>
        <v>0</v>
      </c>
      <c r="T171" s="6"/>
    </row>
    <row r="172" spans="1:20" ht="11.25" customHeight="1" x14ac:dyDescent="0.2">
      <c r="A172" s="297"/>
      <c r="B172" s="120" t="s">
        <v>76</v>
      </c>
      <c r="C172" s="120" t="s">
        <v>75</v>
      </c>
      <c r="D172" s="318"/>
      <c r="E172" s="151"/>
      <c r="F172" s="114"/>
      <c r="G172" s="114"/>
      <c r="H172" s="114"/>
      <c r="I172" s="114"/>
      <c r="J172" s="114"/>
      <c r="K172" s="114"/>
      <c r="L172" s="114"/>
      <c r="M172" s="114"/>
      <c r="N172" s="114"/>
      <c r="O172" s="114"/>
      <c r="P172" s="114"/>
      <c r="Q172" s="114"/>
      <c r="R172" s="115">
        <f>+E172*$D172</f>
        <v>0</v>
      </c>
    </row>
    <row r="173" spans="1:20" ht="11.25" customHeight="1" x14ac:dyDescent="0.2">
      <c r="A173" s="297"/>
      <c r="B173" s="120" t="s">
        <v>253</v>
      </c>
      <c r="C173" s="120" t="s">
        <v>72</v>
      </c>
      <c r="D173" s="318"/>
      <c r="E173" s="333"/>
      <c r="F173" s="334"/>
      <c r="G173" s="334"/>
      <c r="H173" s="334"/>
      <c r="I173" s="334"/>
      <c r="J173" s="334"/>
      <c r="K173" s="334"/>
      <c r="L173" s="334"/>
      <c r="M173" s="334"/>
      <c r="N173" s="334"/>
      <c r="O173" s="334"/>
      <c r="P173" s="334"/>
      <c r="Q173" s="334"/>
      <c r="R173" s="115">
        <f>+E173*$D173</f>
        <v>0</v>
      </c>
    </row>
    <row r="174" spans="1:20" ht="11.25" customHeight="1" x14ac:dyDescent="0.2">
      <c r="A174" s="139" t="s">
        <v>54</v>
      </c>
      <c r="B174" s="180" t="s">
        <v>55</v>
      </c>
      <c r="C174" s="321"/>
      <c r="D174" s="335"/>
      <c r="E174" s="323"/>
      <c r="F174" s="336"/>
      <c r="G174" s="336"/>
      <c r="H174" s="336"/>
      <c r="I174" s="336"/>
      <c r="J174" s="336"/>
      <c r="K174" s="336"/>
      <c r="L174" s="336"/>
      <c r="M174" s="336"/>
      <c r="N174" s="336"/>
      <c r="O174" s="336"/>
      <c r="P174" s="336"/>
      <c r="Q174" s="336"/>
      <c r="R174" s="337"/>
    </row>
    <row r="175" spans="1:20" ht="11.25" customHeight="1" x14ac:dyDescent="0.2">
      <c r="A175" s="290">
        <v>32500</v>
      </c>
      <c r="B175" s="96" t="s">
        <v>314</v>
      </c>
      <c r="C175" s="97"/>
      <c r="D175" s="98"/>
      <c r="E175" s="99"/>
      <c r="F175" s="314"/>
      <c r="G175" s="314"/>
      <c r="H175" s="314"/>
      <c r="I175" s="314"/>
      <c r="J175" s="314"/>
      <c r="K175" s="314"/>
      <c r="L175" s="314"/>
      <c r="M175" s="314"/>
      <c r="N175" s="314"/>
      <c r="O175" s="314"/>
      <c r="P175" s="314"/>
      <c r="Q175" s="314"/>
      <c r="R175" s="101">
        <f>SUM(R176:R178)</f>
        <v>0</v>
      </c>
    </row>
    <row r="176" spans="1:20" ht="11.25" customHeight="1" x14ac:dyDescent="0.2">
      <c r="A176" s="338"/>
      <c r="B176" s="181" t="s">
        <v>134</v>
      </c>
      <c r="C176" s="181" t="s">
        <v>75</v>
      </c>
      <c r="D176" s="182"/>
      <c r="E176" s="183"/>
      <c r="F176" s="184"/>
      <c r="G176" s="184"/>
      <c r="H176" s="184"/>
      <c r="I176" s="184"/>
      <c r="J176" s="184"/>
      <c r="K176" s="184"/>
      <c r="L176" s="184"/>
      <c r="M176" s="184"/>
      <c r="N176" s="184"/>
      <c r="O176" s="184"/>
      <c r="P176" s="184"/>
      <c r="Q176" s="184"/>
      <c r="R176" s="185">
        <f>+E176*$D176</f>
        <v>0</v>
      </c>
    </row>
    <row r="177" spans="1:18" ht="11.25" customHeight="1" x14ac:dyDescent="0.2">
      <c r="A177" s="339"/>
      <c r="B177" s="110" t="s">
        <v>197</v>
      </c>
      <c r="C177" s="110" t="s">
        <v>75</v>
      </c>
      <c r="D177" s="130"/>
      <c r="E177" s="151"/>
      <c r="F177" s="156"/>
      <c r="G177" s="156"/>
      <c r="H177" s="156"/>
      <c r="I177" s="156"/>
      <c r="J177" s="156"/>
      <c r="K177" s="156"/>
      <c r="L177" s="156"/>
      <c r="M177" s="156"/>
      <c r="N177" s="156"/>
      <c r="O177" s="156"/>
      <c r="P177" s="156"/>
      <c r="Q177" s="156"/>
      <c r="R177" s="115">
        <f>+E177*$D177</f>
        <v>0</v>
      </c>
    </row>
    <row r="178" spans="1:18" ht="11.25" customHeight="1" thickBot="1" x14ac:dyDescent="0.25">
      <c r="A178" s="139" t="s">
        <v>54</v>
      </c>
      <c r="B178" s="180" t="s">
        <v>55</v>
      </c>
      <c r="C178" s="321"/>
      <c r="D178" s="335"/>
      <c r="E178" s="323"/>
      <c r="F178" s="336"/>
      <c r="G178" s="336"/>
      <c r="H178" s="336"/>
      <c r="I178" s="336"/>
      <c r="J178" s="336"/>
      <c r="K178" s="336"/>
      <c r="L178" s="336"/>
      <c r="M178" s="336"/>
      <c r="N178" s="336"/>
      <c r="O178" s="336"/>
      <c r="P178" s="336"/>
      <c r="Q178" s="336"/>
      <c r="R178" s="337"/>
    </row>
    <row r="179" spans="1:18" ht="11.25" customHeight="1" x14ac:dyDescent="0.2">
      <c r="A179" s="340">
        <v>34000</v>
      </c>
      <c r="B179" s="341" t="s">
        <v>315</v>
      </c>
      <c r="C179" s="342"/>
      <c r="D179" s="343"/>
      <c r="E179" s="344"/>
      <c r="F179" s="345"/>
      <c r="G179" s="345"/>
      <c r="H179" s="345"/>
      <c r="I179" s="345"/>
      <c r="J179" s="345"/>
      <c r="K179" s="345"/>
      <c r="L179" s="345"/>
      <c r="M179" s="345"/>
      <c r="N179" s="345"/>
      <c r="O179" s="345"/>
      <c r="P179" s="345"/>
      <c r="Q179" s="345"/>
      <c r="R179" s="312">
        <f>R180+R185+R188</f>
        <v>0</v>
      </c>
    </row>
    <row r="180" spans="1:18" ht="11.25" customHeight="1" x14ac:dyDescent="0.2">
      <c r="A180" s="95">
        <v>34100</v>
      </c>
      <c r="B180" s="96" t="s">
        <v>198</v>
      </c>
      <c r="C180" s="346"/>
      <c r="D180" s="235"/>
      <c r="E180" s="347"/>
      <c r="F180" s="348"/>
      <c r="G180" s="348"/>
      <c r="H180" s="348"/>
      <c r="I180" s="348"/>
      <c r="J180" s="348"/>
      <c r="K180" s="348"/>
      <c r="L180" s="348"/>
      <c r="M180" s="348"/>
      <c r="N180" s="348"/>
      <c r="O180" s="348"/>
      <c r="P180" s="348"/>
      <c r="Q180" s="348"/>
      <c r="R180" s="195">
        <f>R181</f>
        <v>0</v>
      </c>
    </row>
    <row r="181" spans="1:18" ht="11.25" customHeight="1" x14ac:dyDescent="0.2">
      <c r="A181" s="349">
        <v>34110</v>
      </c>
      <c r="B181" s="236" t="s">
        <v>82</v>
      </c>
      <c r="C181" s="350"/>
      <c r="D181" s="295"/>
      <c r="E181" s="351"/>
      <c r="F181" s="352"/>
      <c r="G181" s="352"/>
      <c r="H181" s="352"/>
      <c r="I181" s="352"/>
      <c r="J181" s="352"/>
      <c r="K181" s="352"/>
      <c r="L181" s="352"/>
      <c r="M181" s="352"/>
      <c r="N181" s="352"/>
      <c r="O181" s="352"/>
      <c r="P181" s="352"/>
      <c r="Q181" s="352"/>
      <c r="R181" s="353">
        <f>SUM(R182:R184)</f>
        <v>0</v>
      </c>
    </row>
    <row r="182" spans="1:18" ht="11.25" customHeight="1" x14ac:dyDescent="0.2">
      <c r="A182" s="354"/>
      <c r="B182" s="120" t="s">
        <v>83</v>
      </c>
      <c r="C182" s="355" t="s">
        <v>84</v>
      </c>
      <c r="D182" s="112"/>
      <c r="E182" s="356"/>
      <c r="F182" s="114"/>
      <c r="G182" s="114"/>
      <c r="H182" s="114"/>
      <c r="I182" s="114"/>
      <c r="J182" s="114"/>
      <c r="K182" s="114"/>
      <c r="L182" s="114"/>
      <c r="M182" s="114"/>
      <c r="N182" s="114"/>
      <c r="O182" s="114"/>
      <c r="P182" s="114"/>
      <c r="Q182" s="114"/>
      <c r="R182" s="115">
        <f>+E182*$D182</f>
        <v>0</v>
      </c>
    </row>
    <row r="183" spans="1:18" ht="11.25" customHeight="1" x14ac:dyDescent="0.2">
      <c r="A183" s="354"/>
      <c r="B183" s="120" t="s">
        <v>360</v>
      </c>
      <c r="C183" s="355" t="s">
        <v>84</v>
      </c>
      <c r="D183" s="112"/>
      <c r="E183" s="356"/>
      <c r="F183" s="114"/>
      <c r="G183" s="114"/>
      <c r="H183" s="114"/>
      <c r="I183" s="114"/>
      <c r="J183" s="114"/>
      <c r="K183" s="114"/>
      <c r="L183" s="114"/>
      <c r="M183" s="114"/>
      <c r="N183" s="114"/>
      <c r="O183" s="114"/>
      <c r="P183" s="114"/>
      <c r="Q183" s="114"/>
      <c r="R183" s="115">
        <f>+E183*$D183</f>
        <v>0</v>
      </c>
    </row>
    <row r="184" spans="1:18" ht="11.25" customHeight="1" x14ac:dyDescent="0.2">
      <c r="A184" s="160" t="s">
        <v>54</v>
      </c>
      <c r="B184" s="161" t="s">
        <v>55</v>
      </c>
      <c r="C184" s="357"/>
      <c r="D184" s="358"/>
      <c r="E184" s="359"/>
      <c r="F184" s="360"/>
      <c r="G184" s="360"/>
      <c r="H184" s="360"/>
      <c r="I184" s="360"/>
      <c r="J184" s="360"/>
      <c r="K184" s="360"/>
      <c r="L184" s="360"/>
      <c r="M184" s="360"/>
      <c r="N184" s="360"/>
      <c r="O184" s="360"/>
      <c r="P184" s="360"/>
      <c r="Q184" s="360"/>
      <c r="R184" s="361"/>
    </row>
    <row r="185" spans="1:18" ht="11.25" customHeight="1" x14ac:dyDescent="0.2">
      <c r="A185" s="95">
        <v>34300</v>
      </c>
      <c r="B185" s="96" t="s">
        <v>316</v>
      </c>
      <c r="C185" s="346"/>
      <c r="D185" s="235"/>
      <c r="E185" s="347"/>
      <c r="F185" s="348"/>
      <c r="G185" s="348"/>
      <c r="H185" s="348"/>
      <c r="I185" s="348"/>
      <c r="J185" s="348"/>
      <c r="K185" s="348"/>
      <c r="L185" s="348"/>
      <c r="M185" s="348"/>
      <c r="N185" s="348"/>
      <c r="O185" s="348"/>
      <c r="P185" s="348"/>
      <c r="Q185" s="348"/>
      <c r="R185" s="195">
        <f>SUM(R186:R187)</f>
        <v>0</v>
      </c>
    </row>
    <row r="186" spans="1:18" ht="11.25" customHeight="1" x14ac:dyDescent="0.2">
      <c r="A186" s="362"/>
      <c r="B186" s="363" t="s">
        <v>317</v>
      </c>
      <c r="C186" s="364" t="s">
        <v>75</v>
      </c>
      <c r="D186" s="365"/>
      <c r="E186" s="366"/>
      <c r="F186" s="367"/>
      <c r="G186" s="367"/>
      <c r="H186" s="367"/>
      <c r="I186" s="367"/>
      <c r="J186" s="367"/>
      <c r="K186" s="367"/>
      <c r="L186" s="367"/>
      <c r="M186" s="367"/>
      <c r="N186" s="367"/>
      <c r="O186" s="367"/>
      <c r="P186" s="367"/>
      <c r="Q186" s="367"/>
      <c r="R186" s="368">
        <f>+E186*$D186</f>
        <v>0</v>
      </c>
    </row>
    <row r="187" spans="1:18" ht="11.25" customHeight="1" x14ac:dyDescent="0.2">
      <c r="A187" s="369" t="s">
        <v>54</v>
      </c>
      <c r="B187" s="370" t="s">
        <v>55</v>
      </c>
      <c r="C187" s="371"/>
      <c r="D187" s="372"/>
      <c r="E187" s="373"/>
      <c r="F187" s="374"/>
      <c r="G187" s="374"/>
      <c r="H187" s="374"/>
      <c r="I187" s="374"/>
      <c r="J187" s="374"/>
      <c r="K187" s="374"/>
      <c r="L187" s="374"/>
      <c r="M187" s="374"/>
      <c r="N187" s="374"/>
      <c r="O187" s="374"/>
      <c r="P187" s="374"/>
      <c r="Q187" s="374"/>
      <c r="R187" s="375"/>
    </row>
    <row r="188" spans="1:18" ht="11.25" customHeight="1" x14ac:dyDescent="0.2">
      <c r="A188" s="95">
        <v>34500</v>
      </c>
      <c r="B188" s="96" t="s">
        <v>199</v>
      </c>
      <c r="C188" s="346"/>
      <c r="D188" s="235"/>
      <c r="E188" s="347"/>
      <c r="F188" s="376"/>
      <c r="G188" s="376"/>
      <c r="H188" s="376"/>
      <c r="I188" s="376"/>
      <c r="J188" s="376"/>
      <c r="K188" s="376"/>
      <c r="L188" s="376"/>
      <c r="M188" s="376"/>
      <c r="N188" s="376"/>
      <c r="O188" s="376"/>
      <c r="P188" s="376"/>
      <c r="Q188" s="376"/>
      <c r="R188" s="195">
        <f>SUM(R189:R190)</f>
        <v>0</v>
      </c>
    </row>
    <row r="189" spans="1:18" ht="11.25" customHeight="1" x14ac:dyDescent="0.2">
      <c r="A189" s="362"/>
      <c r="B189" s="363" t="s">
        <v>200</v>
      </c>
      <c r="C189" s="364" t="s">
        <v>75</v>
      </c>
      <c r="D189" s="365"/>
      <c r="E189" s="366"/>
      <c r="F189" s="377"/>
      <c r="G189" s="377"/>
      <c r="H189" s="377"/>
      <c r="I189" s="377"/>
      <c r="J189" s="377"/>
      <c r="K189" s="377"/>
      <c r="L189" s="377"/>
      <c r="M189" s="377"/>
      <c r="N189" s="377"/>
      <c r="O189" s="377"/>
      <c r="P189" s="377"/>
      <c r="Q189" s="377"/>
      <c r="R189" s="368">
        <f>+E189*$D189</f>
        <v>0</v>
      </c>
    </row>
    <row r="190" spans="1:18" ht="11.25" customHeight="1" thickBot="1" x14ac:dyDescent="0.25">
      <c r="A190" s="200" t="s">
        <v>54</v>
      </c>
      <c r="B190" s="201" t="s">
        <v>55</v>
      </c>
      <c r="C190" s="378"/>
      <c r="D190" s="379"/>
      <c r="E190" s="380"/>
      <c r="F190" s="381"/>
      <c r="G190" s="381"/>
      <c r="H190" s="381"/>
      <c r="I190" s="381"/>
      <c r="J190" s="381"/>
      <c r="K190" s="381"/>
      <c r="L190" s="381"/>
      <c r="M190" s="381"/>
      <c r="N190" s="381"/>
      <c r="O190" s="381"/>
      <c r="P190" s="381"/>
      <c r="Q190" s="381"/>
      <c r="R190" s="382"/>
    </row>
    <row r="191" spans="1:18" ht="11.25" customHeight="1" x14ac:dyDescent="0.2">
      <c r="A191" s="340">
        <v>39000</v>
      </c>
      <c r="B191" s="341" t="s">
        <v>85</v>
      </c>
      <c r="C191" s="342"/>
      <c r="D191" s="343"/>
      <c r="E191" s="383"/>
      <c r="F191" s="345"/>
      <c r="G191" s="345"/>
      <c r="H191" s="345"/>
      <c r="I191" s="345"/>
      <c r="J191" s="345"/>
      <c r="K191" s="345"/>
      <c r="L191" s="345"/>
      <c r="M191" s="345"/>
      <c r="N191" s="345"/>
      <c r="O191" s="345"/>
      <c r="P191" s="345"/>
      <c r="Q191" s="345"/>
      <c r="R191" s="312">
        <f>R192+R200+R240+R249</f>
        <v>0</v>
      </c>
    </row>
    <row r="192" spans="1:18" ht="11.25" customHeight="1" x14ac:dyDescent="0.2">
      <c r="A192" s="95">
        <v>39100</v>
      </c>
      <c r="B192" s="96" t="s">
        <v>140</v>
      </c>
      <c r="C192" s="346"/>
      <c r="D192" s="235"/>
      <c r="E192" s="384"/>
      <c r="F192" s="348"/>
      <c r="G192" s="348"/>
      <c r="H192" s="348"/>
      <c r="I192" s="348"/>
      <c r="J192" s="348"/>
      <c r="K192" s="348"/>
      <c r="L192" s="348"/>
      <c r="M192" s="348"/>
      <c r="N192" s="348"/>
      <c r="O192" s="348"/>
      <c r="P192" s="348"/>
      <c r="Q192" s="348"/>
      <c r="R192" s="195">
        <f>SUM(R193:R199)</f>
        <v>0</v>
      </c>
    </row>
    <row r="193" spans="1:18" ht="11.25" customHeight="1" x14ac:dyDescent="0.2">
      <c r="A193" s="385"/>
      <c r="B193" s="328" t="s">
        <v>254</v>
      </c>
      <c r="C193" s="386" t="s">
        <v>255</v>
      </c>
      <c r="D193" s="387"/>
      <c r="E193" s="388"/>
      <c r="F193" s="389"/>
      <c r="G193" s="389"/>
      <c r="H193" s="389"/>
      <c r="I193" s="389"/>
      <c r="J193" s="389"/>
      <c r="K193" s="389"/>
      <c r="L193" s="389"/>
      <c r="M193" s="389"/>
      <c r="N193" s="389"/>
      <c r="O193" s="389"/>
      <c r="P193" s="389"/>
      <c r="Q193" s="389"/>
      <c r="R193" s="185">
        <f t="shared" ref="R193:R198" si="6">+E193*$D193</f>
        <v>0</v>
      </c>
    </row>
    <row r="194" spans="1:18" ht="11.25" customHeight="1" x14ac:dyDescent="0.2">
      <c r="A194" s="221"/>
      <c r="B194" s="120" t="s">
        <v>256</v>
      </c>
      <c r="C194" s="355" t="s">
        <v>257</v>
      </c>
      <c r="D194" s="118"/>
      <c r="E194" s="319"/>
      <c r="F194" s="320"/>
      <c r="G194" s="320"/>
      <c r="H194" s="320"/>
      <c r="I194" s="320"/>
      <c r="J194" s="320"/>
      <c r="K194" s="320"/>
      <c r="L194" s="320"/>
      <c r="M194" s="320"/>
      <c r="N194" s="320"/>
      <c r="O194" s="320"/>
      <c r="P194" s="320"/>
      <c r="Q194" s="320"/>
      <c r="R194" s="115">
        <f t="shared" si="6"/>
        <v>0</v>
      </c>
    </row>
    <row r="195" spans="1:18" ht="11.25" customHeight="1" x14ac:dyDescent="0.2">
      <c r="A195" s="221"/>
      <c r="B195" s="120" t="s">
        <v>258</v>
      </c>
      <c r="C195" s="355" t="s">
        <v>255</v>
      </c>
      <c r="D195" s="118"/>
      <c r="E195" s="319"/>
      <c r="F195" s="320"/>
      <c r="G195" s="320"/>
      <c r="H195" s="320"/>
      <c r="I195" s="320"/>
      <c r="J195" s="320"/>
      <c r="K195" s="320"/>
      <c r="L195" s="320"/>
      <c r="M195" s="320"/>
      <c r="N195" s="320"/>
      <c r="O195" s="320"/>
      <c r="P195" s="320"/>
      <c r="Q195" s="320"/>
      <c r="R195" s="115">
        <f t="shared" si="6"/>
        <v>0</v>
      </c>
    </row>
    <row r="196" spans="1:18" ht="11.25" customHeight="1" x14ac:dyDescent="0.2">
      <c r="A196" s="221"/>
      <c r="B196" s="120" t="s">
        <v>259</v>
      </c>
      <c r="C196" s="355" t="s">
        <v>75</v>
      </c>
      <c r="D196" s="118"/>
      <c r="E196" s="319"/>
      <c r="F196" s="320"/>
      <c r="G196" s="320"/>
      <c r="H196" s="320"/>
      <c r="I196" s="320"/>
      <c r="J196" s="320"/>
      <c r="K196" s="320"/>
      <c r="L196" s="320"/>
      <c r="M196" s="320"/>
      <c r="N196" s="320"/>
      <c r="O196" s="320"/>
      <c r="P196" s="320"/>
      <c r="Q196" s="320"/>
      <c r="R196" s="115">
        <f t="shared" si="6"/>
        <v>0</v>
      </c>
    </row>
    <row r="197" spans="1:18" ht="11.25" customHeight="1" x14ac:dyDescent="0.2">
      <c r="A197" s="221"/>
      <c r="B197" s="120" t="s">
        <v>318</v>
      </c>
      <c r="C197" s="355" t="s">
        <v>75</v>
      </c>
      <c r="D197" s="118"/>
      <c r="E197" s="319"/>
      <c r="F197" s="320"/>
      <c r="G197" s="320"/>
      <c r="H197" s="320"/>
      <c r="I197" s="320"/>
      <c r="J197" s="320"/>
      <c r="K197" s="320"/>
      <c r="L197" s="320"/>
      <c r="M197" s="320"/>
      <c r="N197" s="320"/>
      <c r="O197" s="320"/>
      <c r="P197" s="320"/>
      <c r="Q197" s="320"/>
      <c r="R197" s="115">
        <f t="shared" si="6"/>
        <v>0</v>
      </c>
    </row>
    <row r="198" spans="1:18" ht="11.25" customHeight="1" x14ac:dyDescent="0.2">
      <c r="A198" s="221"/>
      <c r="B198" s="120" t="s">
        <v>260</v>
      </c>
      <c r="C198" s="355" t="s">
        <v>75</v>
      </c>
      <c r="D198" s="118"/>
      <c r="E198" s="319"/>
      <c r="F198" s="320"/>
      <c r="G198" s="320"/>
      <c r="H198" s="320"/>
      <c r="I198" s="320"/>
      <c r="J198" s="320"/>
      <c r="K198" s="320"/>
      <c r="L198" s="320"/>
      <c r="M198" s="320"/>
      <c r="N198" s="320"/>
      <c r="O198" s="320"/>
      <c r="P198" s="320"/>
      <c r="Q198" s="320"/>
      <c r="R198" s="115">
        <f t="shared" si="6"/>
        <v>0</v>
      </c>
    </row>
    <row r="199" spans="1:18" ht="11.25" customHeight="1" x14ac:dyDescent="0.2">
      <c r="A199" s="160" t="s">
        <v>54</v>
      </c>
      <c r="B199" s="161" t="s">
        <v>55</v>
      </c>
      <c r="C199" s="357"/>
      <c r="D199" s="390"/>
      <c r="E199" s="391"/>
      <c r="F199" s="360"/>
      <c r="G199" s="360"/>
      <c r="H199" s="360"/>
      <c r="I199" s="360"/>
      <c r="J199" s="360"/>
      <c r="K199" s="360"/>
      <c r="L199" s="360"/>
      <c r="M199" s="360"/>
      <c r="N199" s="360"/>
      <c r="O199" s="360"/>
      <c r="P199" s="360"/>
      <c r="Q199" s="360"/>
      <c r="R199" s="361"/>
    </row>
    <row r="200" spans="1:18" ht="11.25" customHeight="1" x14ac:dyDescent="0.2">
      <c r="A200" s="95">
        <v>39500</v>
      </c>
      <c r="B200" s="208" t="s">
        <v>319</v>
      </c>
      <c r="C200" s="392"/>
      <c r="D200" s="393"/>
      <c r="E200" s="394"/>
      <c r="F200" s="179"/>
      <c r="G200" s="179"/>
      <c r="H200" s="179"/>
      <c r="I200" s="179"/>
      <c r="J200" s="179"/>
      <c r="K200" s="179"/>
      <c r="L200" s="179"/>
      <c r="M200" s="179"/>
      <c r="N200" s="179"/>
      <c r="O200" s="179"/>
      <c r="P200" s="179"/>
      <c r="Q200" s="179"/>
      <c r="R200" s="395">
        <f>SUM(R201:R239)</f>
        <v>0</v>
      </c>
    </row>
    <row r="201" spans="1:18" ht="11.25" customHeight="1" x14ac:dyDescent="0.2">
      <c r="A201" s="385"/>
      <c r="B201" s="363" t="s">
        <v>320</v>
      </c>
      <c r="C201" s="363" t="s">
        <v>75</v>
      </c>
      <c r="D201" s="396"/>
      <c r="E201" s="397"/>
      <c r="F201" s="398"/>
      <c r="G201" s="398"/>
      <c r="H201" s="398"/>
      <c r="I201" s="398"/>
      <c r="J201" s="398"/>
      <c r="K201" s="398"/>
      <c r="L201" s="398"/>
      <c r="M201" s="398"/>
      <c r="N201" s="398"/>
      <c r="O201" s="398"/>
      <c r="P201" s="398"/>
      <c r="Q201" s="398"/>
      <c r="R201" s="368">
        <f>+E201*$D201</f>
        <v>0</v>
      </c>
    </row>
    <row r="202" spans="1:18" ht="11.25" customHeight="1" x14ac:dyDescent="0.2">
      <c r="A202" s="221"/>
      <c r="B202" s="110" t="s">
        <v>80</v>
      </c>
      <c r="C202" s="110" t="s">
        <v>75</v>
      </c>
      <c r="D202" s="318"/>
      <c r="E202" s="242"/>
      <c r="F202" s="156"/>
      <c r="G202" s="156"/>
      <c r="H202" s="156"/>
      <c r="I202" s="156"/>
      <c r="J202" s="156"/>
      <c r="K202" s="156"/>
      <c r="L202" s="156"/>
      <c r="M202" s="156"/>
      <c r="N202" s="156"/>
      <c r="O202" s="156"/>
      <c r="P202" s="156"/>
      <c r="Q202" s="156"/>
      <c r="R202" s="115">
        <f>+E202*$D202</f>
        <v>0</v>
      </c>
    </row>
    <row r="203" spans="1:18" ht="11.25" customHeight="1" x14ac:dyDescent="0.2">
      <c r="A203" s="221"/>
      <c r="B203" s="110" t="s">
        <v>261</v>
      </c>
      <c r="C203" s="110" t="s">
        <v>75</v>
      </c>
      <c r="D203" s="318"/>
      <c r="E203" s="242"/>
      <c r="F203" s="156"/>
      <c r="G203" s="156"/>
      <c r="H203" s="156"/>
      <c r="I203" s="156"/>
      <c r="J203" s="156"/>
      <c r="K203" s="156"/>
      <c r="L203" s="156"/>
      <c r="M203" s="156"/>
      <c r="N203" s="156"/>
      <c r="O203" s="156"/>
      <c r="P203" s="156"/>
      <c r="Q203" s="156"/>
      <c r="R203" s="115">
        <f>+E203*$D203</f>
        <v>0</v>
      </c>
    </row>
    <row r="204" spans="1:18" ht="11.25" customHeight="1" x14ac:dyDescent="0.2">
      <c r="A204" s="221"/>
      <c r="B204" s="110" t="s">
        <v>81</v>
      </c>
      <c r="C204" s="110" t="s">
        <v>75</v>
      </c>
      <c r="D204" s="318"/>
      <c r="E204" s="242"/>
      <c r="F204" s="156"/>
      <c r="G204" s="156"/>
      <c r="H204" s="156"/>
      <c r="I204" s="156"/>
      <c r="J204" s="156"/>
      <c r="K204" s="156"/>
      <c r="L204" s="156"/>
      <c r="M204" s="156"/>
      <c r="N204" s="156"/>
      <c r="O204" s="156"/>
      <c r="P204" s="156"/>
      <c r="Q204" s="156"/>
      <c r="R204" s="115">
        <f>+E204*$D204</f>
        <v>0</v>
      </c>
    </row>
    <row r="205" spans="1:18" ht="11.25" customHeight="1" x14ac:dyDescent="0.2">
      <c r="A205" s="109"/>
      <c r="B205" s="174" t="s">
        <v>262</v>
      </c>
      <c r="C205" s="110" t="s">
        <v>75</v>
      </c>
      <c r="D205" s="318"/>
      <c r="E205" s="242"/>
      <c r="F205" s="156"/>
      <c r="G205" s="156"/>
      <c r="H205" s="156"/>
      <c r="I205" s="156"/>
      <c r="J205" s="156"/>
      <c r="K205" s="156"/>
      <c r="L205" s="156"/>
      <c r="M205" s="156"/>
      <c r="N205" s="156"/>
      <c r="O205" s="156"/>
      <c r="P205" s="156"/>
      <c r="Q205" s="156"/>
      <c r="R205" s="115">
        <f t="shared" ref="R205:R237" si="7">+E205*$D205</f>
        <v>0</v>
      </c>
    </row>
    <row r="206" spans="1:18" ht="11.25" customHeight="1" x14ac:dyDescent="0.2">
      <c r="A206" s="109"/>
      <c r="B206" s="174" t="s">
        <v>263</v>
      </c>
      <c r="C206" s="110" t="s">
        <v>75</v>
      </c>
      <c r="D206" s="318"/>
      <c r="E206" s="242"/>
      <c r="F206" s="156"/>
      <c r="G206" s="156"/>
      <c r="H206" s="156"/>
      <c r="I206" s="156"/>
      <c r="J206" s="156"/>
      <c r="K206" s="156"/>
      <c r="L206" s="156"/>
      <c r="M206" s="156"/>
      <c r="N206" s="156"/>
      <c r="O206" s="156"/>
      <c r="P206" s="156"/>
      <c r="Q206" s="156"/>
      <c r="R206" s="115">
        <f t="shared" si="7"/>
        <v>0</v>
      </c>
    </row>
    <row r="207" spans="1:18" ht="11.25" customHeight="1" x14ac:dyDescent="0.2">
      <c r="A207" s="109"/>
      <c r="B207" s="174" t="s">
        <v>264</v>
      </c>
      <c r="C207" s="110" t="s">
        <v>75</v>
      </c>
      <c r="D207" s="318"/>
      <c r="E207" s="242"/>
      <c r="F207" s="156"/>
      <c r="G207" s="156"/>
      <c r="H207" s="156"/>
      <c r="I207" s="156"/>
      <c r="J207" s="156"/>
      <c r="K207" s="156"/>
      <c r="L207" s="156"/>
      <c r="M207" s="156"/>
      <c r="N207" s="156"/>
      <c r="O207" s="156"/>
      <c r="P207" s="156"/>
      <c r="Q207" s="156"/>
      <c r="R207" s="115">
        <f t="shared" si="7"/>
        <v>0</v>
      </c>
    </row>
    <row r="208" spans="1:18" ht="11.25" customHeight="1" x14ac:dyDescent="0.2">
      <c r="A208" s="109"/>
      <c r="B208" s="174" t="s">
        <v>321</v>
      </c>
      <c r="C208" s="110" t="s">
        <v>75</v>
      </c>
      <c r="D208" s="318"/>
      <c r="E208" s="242"/>
      <c r="F208" s="156"/>
      <c r="G208" s="156"/>
      <c r="H208" s="156"/>
      <c r="I208" s="156"/>
      <c r="J208" s="156"/>
      <c r="K208" s="156"/>
      <c r="L208" s="156"/>
      <c r="M208" s="156"/>
      <c r="N208" s="156"/>
      <c r="O208" s="156"/>
      <c r="P208" s="156"/>
      <c r="Q208" s="156"/>
      <c r="R208" s="115">
        <f t="shared" si="7"/>
        <v>0</v>
      </c>
    </row>
    <row r="209" spans="1:18" ht="11.25" customHeight="1" x14ac:dyDescent="0.2">
      <c r="A209" s="109"/>
      <c r="B209" s="174" t="s">
        <v>265</v>
      </c>
      <c r="C209" s="110" t="s">
        <v>86</v>
      </c>
      <c r="D209" s="399"/>
      <c r="E209" s="242"/>
      <c r="F209" s="156"/>
      <c r="G209" s="156"/>
      <c r="H209" s="156"/>
      <c r="I209" s="156"/>
      <c r="J209" s="156"/>
      <c r="K209" s="156"/>
      <c r="L209" s="156"/>
      <c r="M209" s="156"/>
      <c r="N209" s="156"/>
      <c r="O209" s="156"/>
      <c r="P209" s="156"/>
      <c r="Q209" s="156"/>
      <c r="R209" s="115">
        <f t="shared" si="7"/>
        <v>0</v>
      </c>
    </row>
    <row r="210" spans="1:18" ht="11.25" customHeight="1" x14ac:dyDescent="0.2">
      <c r="A210" s="264"/>
      <c r="B210" s="174" t="s">
        <v>204</v>
      </c>
      <c r="C210" s="110" t="s">
        <v>75</v>
      </c>
      <c r="D210" s="399"/>
      <c r="E210" s="242"/>
      <c r="F210" s="156"/>
      <c r="G210" s="156"/>
      <c r="H210" s="156"/>
      <c r="I210" s="156"/>
      <c r="J210" s="156"/>
      <c r="K210" s="156"/>
      <c r="L210" s="156"/>
      <c r="M210" s="156"/>
      <c r="N210" s="156"/>
      <c r="O210" s="156"/>
      <c r="P210" s="156"/>
      <c r="Q210" s="156"/>
      <c r="R210" s="115">
        <f>+E210*$D210</f>
        <v>0</v>
      </c>
    </row>
    <row r="211" spans="1:18" ht="11.25" customHeight="1" x14ac:dyDescent="0.2">
      <c r="A211" s="109"/>
      <c r="B211" s="174" t="s">
        <v>266</v>
      </c>
      <c r="C211" s="110" t="s">
        <v>86</v>
      </c>
      <c r="D211" s="318"/>
      <c r="E211" s="242"/>
      <c r="F211" s="156"/>
      <c r="G211" s="156"/>
      <c r="H211" s="156"/>
      <c r="I211" s="156"/>
      <c r="J211" s="156"/>
      <c r="K211" s="156"/>
      <c r="L211" s="156"/>
      <c r="M211" s="156"/>
      <c r="N211" s="156"/>
      <c r="O211" s="156"/>
      <c r="P211" s="156"/>
      <c r="Q211" s="156"/>
      <c r="R211" s="115">
        <f t="shared" si="7"/>
        <v>0</v>
      </c>
    </row>
    <row r="212" spans="1:18" ht="11.25" customHeight="1" x14ac:dyDescent="0.2">
      <c r="A212" s="109"/>
      <c r="B212" s="174" t="s">
        <v>267</v>
      </c>
      <c r="C212" s="110" t="s">
        <v>86</v>
      </c>
      <c r="D212" s="399"/>
      <c r="E212" s="242"/>
      <c r="F212" s="156"/>
      <c r="G212" s="156"/>
      <c r="H212" s="156"/>
      <c r="I212" s="156"/>
      <c r="J212" s="156"/>
      <c r="K212" s="156"/>
      <c r="L212" s="156"/>
      <c r="M212" s="156"/>
      <c r="N212" s="156"/>
      <c r="O212" s="156"/>
      <c r="P212" s="156"/>
      <c r="Q212" s="156"/>
      <c r="R212" s="115">
        <f t="shared" si="7"/>
        <v>0</v>
      </c>
    </row>
    <row r="213" spans="1:18" ht="11.25" customHeight="1" x14ac:dyDescent="0.2">
      <c r="A213" s="109"/>
      <c r="B213" s="174" t="s">
        <v>201</v>
      </c>
      <c r="C213" s="110" t="s">
        <v>75</v>
      </c>
      <c r="D213" s="399"/>
      <c r="E213" s="242"/>
      <c r="F213" s="156"/>
      <c r="G213" s="156"/>
      <c r="H213" s="156"/>
      <c r="I213" s="156"/>
      <c r="J213" s="156"/>
      <c r="K213" s="156"/>
      <c r="L213" s="156"/>
      <c r="M213" s="156"/>
      <c r="N213" s="156"/>
      <c r="O213" s="156"/>
      <c r="P213" s="156"/>
      <c r="Q213" s="156"/>
      <c r="R213" s="115">
        <f t="shared" si="7"/>
        <v>0</v>
      </c>
    </row>
    <row r="214" spans="1:18" ht="11.25" customHeight="1" x14ac:dyDescent="0.2">
      <c r="A214" s="109"/>
      <c r="B214" s="174" t="s">
        <v>322</v>
      </c>
      <c r="C214" s="110" t="s">
        <v>75</v>
      </c>
      <c r="D214" s="399"/>
      <c r="E214" s="242"/>
      <c r="F214" s="156"/>
      <c r="G214" s="156"/>
      <c r="H214" s="156"/>
      <c r="I214" s="156"/>
      <c r="J214" s="156"/>
      <c r="K214" s="156"/>
      <c r="L214" s="156"/>
      <c r="M214" s="156"/>
      <c r="N214" s="156"/>
      <c r="O214" s="156"/>
      <c r="P214" s="156"/>
      <c r="Q214" s="156"/>
      <c r="R214" s="115">
        <f t="shared" si="7"/>
        <v>0</v>
      </c>
    </row>
    <row r="215" spans="1:18" ht="11.25" customHeight="1" x14ac:dyDescent="0.2">
      <c r="A215" s="109"/>
      <c r="B215" s="174" t="s">
        <v>323</v>
      </c>
      <c r="C215" s="110" t="s">
        <v>75</v>
      </c>
      <c r="D215" s="399"/>
      <c r="E215" s="242"/>
      <c r="F215" s="156"/>
      <c r="G215" s="156"/>
      <c r="H215" s="156"/>
      <c r="I215" s="156"/>
      <c r="J215" s="156"/>
      <c r="K215" s="156"/>
      <c r="L215" s="156"/>
      <c r="M215" s="156"/>
      <c r="N215" s="156"/>
      <c r="O215" s="156"/>
      <c r="P215" s="156"/>
      <c r="Q215" s="156"/>
      <c r="R215" s="115">
        <f t="shared" si="7"/>
        <v>0</v>
      </c>
    </row>
    <row r="216" spans="1:18" ht="11.25" customHeight="1" x14ac:dyDescent="0.2">
      <c r="A216" s="264"/>
      <c r="B216" s="174" t="s">
        <v>203</v>
      </c>
      <c r="C216" s="355" t="s">
        <v>73</v>
      </c>
      <c r="D216" s="399"/>
      <c r="E216" s="242"/>
      <c r="F216" s="156"/>
      <c r="G216" s="156"/>
      <c r="H216" s="156"/>
      <c r="I216" s="156"/>
      <c r="J216" s="156"/>
      <c r="K216" s="156"/>
      <c r="L216" s="156"/>
      <c r="M216" s="156"/>
      <c r="N216" s="156"/>
      <c r="O216" s="156"/>
      <c r="P216" s="156"/>
      <c r="Q216" s="156"/>
      <c r="R216" s="115">
        <f>+E216*$D216</f>
        <v>0</v>
      </c>
    </row>
    <row r="217" spans="1:18" ht="11.25" customHeight="1" x14ac:dyDescent="0.2">
      <c r="A217" s="264"/>
      <c r="B217" s="174" t="s">
        <v>207</v>
      </c>
      <c r="C217" s="355" t="s">
        <v>75</v>
      </c>
      <c r="D217" s="399"/>
      <c r="E217" s="242"/>
      <c r="F217" s="156"/>
      <c r="G217" s="156"/>
      <c r="H217" s="156"/>
      <c r="I217" s="156"/>
      <c r="J217" s="156"/>
      <c r="K217" s="156"/>
      <c r="L217" s="156"/>
      <c r="M217" s="156"/>
      <c r="N217" s="156"/>
      <c r="O217" s="156"/>
      <c r="P217" s="156"/>
      <c r="Q217" s="156"/>
      <c r="R217" s="115">
        <f t="shared" si="7"/>
        <v>0</v>
      </c>
    </row>
    <row r="218" spans="1:18" ht="11.25" customHeight="1" x14ac:dyDescent="0.2">
      <c r="A218" s="109"/>
      <c r="B218" s="174" t="s">
        <v>202</v>
      </c>
      <c r="C218" s="110" t="s">
        <v>75</v>
      </c>
      <c r="D218" s="318"/>
      <c r="E218" s="242"/>
      <c r="F218" s="156"/>
      <c r="G218" s="156"/>
      <c r="H218" s="156"/>
      <c r="I218" s="156"/>
      <c r="J218" s="156"/>
      <c r="K218" s="156"/>
      <c r="L218" s="156"/>
      <c r="M218" s="156"/>
      <c r="N218" s="156"/>
      <c r="O218" s="156"/>
      <c r="P218" s="156"/>
      <c r="Q218" s="156"/>
      <c r="R218" s="115">
        <f>+E218*$D218</f>
        <v>0</v>
      </c>
    </row>
    <row r="219" spans="1:18" ht="11.25" customHeight="1" x14ac:dyDescent="0.2">
      <c r="A219" s="264"/>
      <c r="B219" s="174" t="s">
        <v>205</v>
      </c>
      <c r="C219" s="110" t="s">
        <v>75</v>
      </c>
      <c r="D219" s="399"/>
      <c r="E219" s="242"/>
      <c r="F219" s="156"/>
      <c r="G219" s="156"/>
      <c r="H219" s="156"/>
      <c r="I219" s="156"/>
      <c r="J219" s="156"/>
      <c r="K219" s="156"/>
      <c r="L219" s="156"/>
      <c r="M219" s="156"/>
      <c r="N219" s="156"/>
      <c r="O219" s="156"/>
      <c r="P219" s="156"/>
      <c r="Q219" s="156"/>
      <c r="R219" s="115">
        <f t="shared" si="7"/>
        <v>0</v>
      </c>
    </row>
    <row r="220" spans="1:18" ht="11.25" customHeight="1" x14ac:dyDescent="0.2">
      <c r="A220" s="264"/>
      <c r="B220" s="174" t="s">
        <v>268</v>
      </c>
      <c r="C220" s="110" t="s">
        <v>75</v>
      </c>
      <c r="D220" s="399"/>
      <c r="E220" s="242"/>
      <c r="F220" s="156"/>
      <c r="G220" s="156"/>
      <c r="H220" s="156"/>
      <c r="I220" s="156"/>
      <c r="J220" s="156"/>
      <c r="K220" s="156"/>
      <c r="L220" s="156"/>
      <c r="M220" s="156"/>
      <c r="N220" s="156"/>
      <c r="O220" s="156"/>
      <c r="P220" s="156"/>
      <c r="Q220" s="156"/>
      <c r="R220" s="115">
        <f t="shared" si="7"/>
        <v>0</v>
      </c>
    </row>
    <row r="221" spans="1:18" ht="11.25" customHeight="1" x14ac:dyDescent="0.2">
      <c r="A221" s="264"/>
      <c r="B221" s="174" t="s">
        <v>206</v>
      </c>
      <c r="C221" s="110" t="s">
        <v>86</v>
      </c>
      <c r="D221" s="118"/>
      <c r="E221" s="119"/>
      <c r="F221" s="114"/>
      <c r="G221" s="114"/>
      <c r="H221" s="114"/>
      <c r="I221" s="114"/>
      <c r="J221" s="114"/>
      <c r="K221" s="114"/>
      <c r="L221" s="114"/>
      <c r="M221" s="114"/>
      <c r="N221" s="114"/>
      <c r="O221" s="114"/>
      <c r="P221" s="114"/>
      <c r="Q221" s="114"/>
      <c r="R221" s="115">
        <f t="shared" si="7"/>
        <v>0</v>
      </c>
    </row>
    <row r="222" spans="1:18" ht="11.25" customHeight="1" x14ac:dyDescent="0.2">
      <c r="A222" s="264"/>
      <c r="B222" s="174" t="s">
        <v>269</v>
      </c>
      <c r="C222" s="355" t="s">
        <v>73</v>
      </c>
      <c r="D222" s="399"/>
      <c r="E222" s="242"/>
      <c r="F222" s="156"/>
      <c r="G222" s="156"/>
      <c r="H222" s="156"/>
      <c r="I222" s="156"/>
      <c r="J222" s="156"/>
      <c r="K222" s="156"/>
      <c r="L222" s="156"/>
      <c r="M222" s="156"/>
      <c r="N222" s="156"/>
      <c r="O222" s="156"/>
      <c r="P222" s="156"/>
      <c r="Q222" s="156"/>
      <c r="R222" s="115">
        <f t="shared" si="7"/>
        <v>0</v>
      </c>
    </row>
    <row r="223" spans="1:18" ht="11.25" customHeight="1" x14ac:dyDescent="0.2">
      <c r="A223" s="264"/>
      <c r="B223" s="120" t="s">
        <v>324</v>
      </c>
      <c r="C223" s="111" t="s">
        <v>75</v>
      </c>
      <c r="D223" s="399"/>
      <c r="E223" s="242"/>
      <c r="F223" s="156"/>
      <c r="G223" s="156"/>
      <c r="H223" s="156"/>
      <c r="I223" s="156"/>
      <c r="J223" s="156"/>
      <c r="K223" s="156"/>
      <c r="L223" s="156"/>
      <c r="M223" s="156"/>
      <c r="N223" s="156"/>
      <c r="O223" s="156"/>
      <c r="P223" s="156"/>
      <c r="Q223" s="156"/>
      <c r="R223" s="115">
        <f t="shared" si="7"/>
        <v>0</v>
      </c>
    </row>
    <row r="224" spans="1:18" ht="11.25" customHeight="1" x14ac:dyDescent="0.2">
      <c r="A224" s="109"/>
      <c r="B224" s="120" t="s">
        <v>325</v>
      </c>
      <c r="C224" s="111" t="s">
        <v>75</v>
      </c>
      <c r="D224" s="399"/>
      <c r="E224" s="242"/>
      <c r="F224" s="156"/>
      <c r="G224" s="156"/>
      <c r="H224" s="156"/>
      <c r="I224" s="156"/>
      <c r="J224" s="156"/>
      <c r="K224" s="156"/>
      <c r="L224" s="156"/>
      <c r="M224" s="156"/>
      <c r="N224" s="156"/>
      <c r="O224" s="156"/>
      <c r="P224" s="156"/>
      <c r="Q224" s="156"/>
      <c r="R224" s="115">
        <f t="shared" si="7"/>
        <v>0</v>
      </c>
    </row>
    <row r="225" spans="1:18" ht="11.25" customHeight="1" x14ac:dyDescent="0.2">
      <c r="A225" s="264"/>
      <c r="B225" s="120" t="s">
        <v>326</v>
      </c>
      <c r="C225" s="111" t="s">
        <v>75</v>
      </c>
      <c r="D225" s="399"/>
      <c r="E225" s="242"/>
      <c r="F225" s="156"/>
      <c r="G225" s="156"/>
      <c r="H225" s="156"/>
      <c r="I225" s="156"/>
      <c r="J225" s="156"/>
      <c r="K225" s="156"/>
      <c r="L225" s="156"/>
      <c r="M225" s="156"/>
      <c r="N225" s="156"/>
      <c r="O225" s="156"/>
      <c r="P225" s="156"/>
      <c r="Q225" s="156"/>
      <c r="R225" s="115">
        <f t="shared" si="7"/>
        <v>0</v>
      </c>
    </row>
    <row r="226" spans="1:18" ht="11.25" customHeight="1" x14ac:dyDescent="0.2">
      <c r="A226" s="264"/>
      <c r="B226" s="110" t="s">
        <v>327</v>
      </c>
      <c r="C226" s="111" t="s">
        <v>75</v>
      </c>
      <c r="D226" s="118"/>
      <c r="E226" s="119"/>
      <c r="F226" s="114"/>
      <c r="G226" s="114"/>
      <c r="H226" s="114"/>
      <c r="I226" s="114"/>
      <c r="J226" s="114"/>
      <c r="K226" s="114"/>
      <c r="L226" s="114"/>
      <c r="M226" s="114"/>
      <c r="N226" s="114"/>
      <c r="O226" s="114"/>
      <c r="P226" s="114"/>
      <c r="Q226" s="114"/>
      <c r="R226" s="115">
        <f t="shared" si="7"/>
        <v>0</v>
      </c>
    </row>
    <row r="227" spans="1:18" ht="11.25" customHeight="1" x14ac:dyDescent="0.2">
      <c r="A227" s="264"/>
      <c r="B227" s="120" t="s">
        <v>328</v>
      </c>
      <c r="C227" s="111" t="s">
        <v>75</v>
      </c>
      <c r="D227" s="118"/>
      <c r="E227" s="319"/>
      <c r="F227" s="320"/>
      <c r="G227" s="320"/>
      <c r="H227" s="320"/>
      <c r="I227" s="320"/>
      <c r="J227" s="320"/>
      <c r="K227" s="320"/>
      <c r="L227" s="320"/>
      <c r="M227" s="320"/>
      <c r="N227" s="320"/>
      <c r="O227" s="320"/>
      <c r="P227" s="320"/>
      <c r="Q227" s="320"/>
      <c r="R227" s="115">
        <f t="shared" si="7"/>
        <v>0</v>
      </c>
    </row>
    <row r="228" spans="1:18" ht="11.25" customHeight="1" x14ac:dyDescent="0.2">
      <c r="A228" s="264"/>
      <c r="B228" s="120" t="s">
        <v>270</v>
      </c>
      <c r="C228" s="400" t="s">
        <v>75</v>
      </c>
      <c r="D228" s="118"/>
      <c r="E228" s="319"/>
      <c r="F228" s="320"/>
      <c r="G228" s="320"/>
      <c r="H228" s="320"/>
      <c r="I228" s="320"/>
      <c r="J228" s="320"/>
      <c r="K228" s="320"/>
      <c r="L228" s="320"/>
      <c r="M228" s="320"/>
      <c r="N228" s="320"/>
      <c r="O228" s="320"/>
      <c r="P228" s="320"/>
      <c r="Q228" s="320"/>
      <c r="R228" s="115">
        <f t="shared" si="7"/>
        <v>0</v>
      </c>
    </row>
    <row r="229" spans="1:18" ht="11.25" customHeight="1" x14ac:dyDescent="0.2">
      <c r="A229" s="264"/>
      <c r="B229" s="120" t="s">
        <v>271</v>
      </c>
      <c r="C229" s="400" t="s">
        <v>75</v>
      </c>
      <c r="D229" s="118"/>
      <c r="E229" s="356"/>
      <c r="F229" s="401"/>
      <c r="G229" s="401"/>
      <c r="H229" s="401"/>
      <c r="I229" s="401"/>
      <c r="J229" s="401"/>
      <c r="K229" s="401"/>
      <c r="L229" s="401"/>
      <c r="M229" s="401"/>
      <c r="N229" s="401"/>
      <c r="O229" s="401"/>
      <c r="P229" s="401"/>
      <c r="Q229" s="401"/>
      <c r="R229" s="115">
        <f t="shared" si="7"/>
        <v>0</v>
      </c>
    </row>
    <row r="230" spans="1:18" ht="11.25" customHeight="1" x14ac:dyDescent="0.2">
      <c r="A230" s="264"/>
      <c r="B230" s="402" t="s">
        <v>272</v>
      </c>
      <c r="C230" s="402" t="s">
        <v>75</v>
      </c>
      <c r="D230" s="403"/>
      <c r="E230" s="404"/>
      <c r="F230" s="405"/>
      <c r="G230" s="401"/>
      <c r="H230" s="401"/>
      <c r="I230" s="401"/>
      <c r="J230" s="401"/>
      <c r="K230" s="401"/>
      <c r="L230" s="401"/>
      <c r="M230" s="401"/>
      <c r="N230" s="401"/>
      <c r="O230" s="401"/>
      <c r="P230" s="401"/>
      <c r="Q230" s="401"/>
      <c r="R230" s="115">
        <f t="shared" si="7"/>
        <v>0</v>
      </c>
    </row>
    <row r="231" spans="1:18" ht="11.25" customHeight="1" x14ac:dyDescent="0.2">
      <c r="A231" s="264"/>
      <c r="B231" s="402" t="s">
        <v>273</v>
      </c>
      <c r="C231" s="400" t="s">
        <v>75</v>
      </c>
      <c r="D231" s="118"/>
      <c r="E231" s="356"/>
      <c r="F231" s="401"/>
      <c r="G231" s="401"/>
      <c r="H231" s="401"/>
      <c r="I231" s="401"/>
      <c r="J231" s="401"/>
      <c r="K231" s="401"/>
      <c r="L231" s="401"/>
      <c r="M231" s="401"/>
      <c r="N231" s="401"/>
      <c r="O231" s="401"/>
      <c r="P231" s="401"/>
      <c r="Q231" s="401"/>
      <c r="R231" s="115">
        <f t="shared" si="7"/>
        <v>0</v>
      </c>
    </row>
    <row r="232" spans="1:18" ht="11.25" customHeight="1" x14ac:dyDescent="0.2">
      <c r="A232" s="264"/>
      <c r="B232" s="120" t="s">
        <v>329</v>
      </c>
      <c r="C232" s="400" t="s">
        <v>75</v>
      </c>
      <c r="D232" s="118"/>
      <c r="E232" s="356"/>
      <c r="F232" s="401"/>
      <c r="G232" s="401"/>
      <c r="H232" s="401"/>
      <c r="I232" s="401"/>
      <c r="J232" s="401"/>
      <c r="K232" s="401"/>
      <c r="L232" s="401"/>
      <c r="M232" s="401"/>
      <c r="N232" s="401"/>
      <c r="O232" s="401"/>
      <c r="P232" s="401"/>
      <c r="Q232" s="401"/>
      <c r="R232" s="115">
        <f t="shared" si="7"/>
        <v>0</v>
      </c>
    </row>
    <row r="233" spans="1:18" ht="11.25" customHeight="1" x14ac:dyDescent="0.2">
      <c r="A233" s="264"/>
      <c r="B233" s="120" t="s">
        <v>330</v>
      </c>
      <c r="C233" s="400" t="s">
        <v>75</v>
      </c>
      <c r="D233" s="118"/>
      <c r="E233" s="319"/>
      <c r="F233" s="320"/>
      <c r="G233" s="320"/>
      <c r="H233" s="320"/>
      <c r="I233" s="320"/>
      <c r="J233" s="320"/>
      <c r="K233" s="320"/>
      <c r="L233" s="320"/>
      <c r="M233" s="320"/>
      <c r="N233" s="320"/>
      <c r="O233" s="320"/>
      <c r="P233" s="320"/>
      <c r="Q233" s="320"/>
      <c r="R233" s="274">
        <f t="shared" si="7"/>
        <v>0</v>
      </c>
    </row>
    <row r="234" spans="1:18" ht="11.25" customHeight="1" x14ac:dyDescent="0.2">
      <c r="A234" s="264"/>
      <c r="B234" s="120" t="s">
        <v>331</v>
      </c>
      <c r="C234" s="400" t="s">
        <v>75</v>
      </c>
      <c r="D234" s="118"/>
      <c r="E234" s="319"/>
      <c r="F234" s="320"/>
      <c r="G234" s="320"/>
      <c r="H234" s="320"/>
      <c r="I234" s="320"/>
      <c r="J234" s="320"/>
      <c r="K234" s="320"/>
      <c r="L234" s="320"/>
      <c r="M234" s="320"/>
      <c r="N234" s="320"/>
      <c r="O234" s="320"/>
      <c r="P234" s="320"/>
      <c r="Q234" s="320"/>
      <c r="R234" s="274">
        <f t="shared" si="7"/>
        <v>0</v>
      </c>
    </row>
    <row r="235" spans="1:18" ht="11.25" customHeight="1" x14ac:dyDescent="0.2">
      <c r="A235" s="264"/>
      <c r="B235" s="120" t="s">
        <v>274</v>
      </c>
      <c r="C235" s="400" t="s">
        <v>75</v>
      </c>
      <c r="D235" s="118"/>
      <c r="E235" s="319"/>
      <c r="F235" s="320"/>
      <c r="G235" s="320"/>
      <c r="H235" s="320"/>
      <c r="I235" s="320"/>
      <c r="J235" s="320"/>
      <c r="K235" s="320"/>
      <c r="L235" s="320"/>
      <c r="M235" s="320"/>
      <c r="N235" s="320"/>
      <c r="O235" s="320"/>
      <c r="P235" s="320"/>
      <c r="Q235" s="320"/>
      <c r="R235" s="274">
        <f t="shared" si="7"/>
        <v>0</v>
      </c>
    </row>
    <row r="236" spans="1:18" ht="11.25" customHeight="1" x14ac:dyDescent="0.2">
      <c r="A236" s="264"/>
      <c r="B236" s="120" t="s">
        <v>275</v>
      </c>
      <c r="C236" s="400" t="s">
        <v>276</v>
      </c>
      <c r="D236" s="118"/>
      <c r="E236" s="319"/>
      <c r="F236" s="156"/>
      <c r="G236" s="156"/>
      <c r="H236" s="156"/>
      <c r="I236" s="156"/>
      <c r="J236" s="156"/>
      <c r="K236" s="156"/>
      <c r="L236" s="156"/>
      <c r="M236" s="156"/>
      <c r="N236" s="156"/>
      <c r="O236" s="156"/>
      <c r="P236" s="156"/>
      <c r="Q236" s="156"/>
      <c r="R236" s="274">
        <f t="shared" si="7"/>
        <v>0</v>
      </c>
    </row>
    <row r="237" spans="1:18" ht="11.25" customHeight="1" x14ac:dyDescent="0.2">
      <c r="A237" s="264"/>
      <c r="B237" s="120" t="s">
        <v>356</v>
      </c>
      <c r="C237" s="400" t="s">
        <v>75</v>
      </c>
      <c r="D237" s="118"/>
      <c r="E237" s="319"/>
      <c r="F237" s="114"/>
      <c r="G237" s="114"/>
      <c r="H237" s="114"/>
      <c r="I237" s="114"/>
      <c r="J237" s="114"/>
      <c r="K237" s="114"/>
      <c r="L237" s="114"/>
      <c r="M237" s="114"/>
      <c r="N237" s="114"/>
      <c r="O237" s="114"/>
      <c r="P237" s="114"/>
      <c r="Q237" s="114"/>
      <c r="R237" s="274">
        <f t="shared" si="7"/>
        <v>0</v>
      </c>
    </row>
    <row r="238" spans="1:18" ht="11.25" customHeight="1" x14ac:dyDescent="0.2">
      <c r="A238" s="264"/>
      <c r="B238" s="120" t="s">
        <v>361</v>
      </c>
      <c r="C238" s="400" t="s">
        <v>75</v>
      </c>
      <c r="D238" s="118"/>
      <c r="E238" s="319"/>
      <c r="F238" s="114"/>
      <c r="G238" s="114"/>
      <c r="H238" s="114"/>
      <c r="I238" s="114"/>
      <c r="J238" s="114"/>
      <c r="K238" s="114"/>
      <c r="L238" s="114"/>
      <c r="M238" s="114"/>
      <c r="N238" s="114"/>
      <c r="O238" s="114"/>
      <c r="P238" s="114"/>
      <c r="Q238" s="114"/>
      <c r="R238" s="274">
        <f>+E238*$D238</f>
        <v>0</v>
      </c>
    </row>
    <row r="239" spans="1:18" ht="11.25" customHeight="1" x14ac:dyDescent="0.2">
      <c r="A239" s="139" t="s">
        <v>54</v>
      </c>
      <c r="B239" s="180" t="s">
        <v>55</v>
      </c>
      <c r="C239" s="321"/>
      <c r="D239" s="335"/>
      <c r="E239" s="406"/>
      <c r="F239" s="336"/>
      <c r="G239" s="336"/>
      <c r="H239" s="336"/>
      <c r="I239" s="336"/>
      <c r="J239" s="336"/>
      <c r="K239" s="336"/>
      <c r="L239" s="336"/>
      <c r="M239" s="336"/>
      <c r="N239" s="336"/>
      <c r="O239" s="336"/>
      <c r="P239" s="336"/>
      <c r="Q239" s="336"/>
      <c r="R239" s="407"/>
    </row>
    <row r="240" spans="1:18" ht="11.25" customHeight="1" x14ac:dyDescent="0.2">
      <c r="A240" s="95">
        <v>39700</v>
      </c>
      <c r="B240" s="96" t="s">
        <v>332</v>
      </c>
      <c r="C240" s="97"/>
      <c r="D240" s="98"/>
      <c r="E240" s="313"/>
      <c r="F240" s="314"/>
      <c r="G240" s="314"/>
      <c r="H240" s="314"/>
      <c r="I240" s="314"/>
      <c r="J240" s="314"/>
      <c r="K240" s="314"/>
      <c r="L240" s="314"/>
      <c r="M240" s="314"/>
      <c r="N240" s="314"/>
      <c r="O240" s="314"/>
      <c r="P240" s="314"/>
      <c r="Q240" s="314"/>
      <c r="R240" s="315">
        <f>SUM(R241:R248)</f>
        <v>0</v>
      </c>
    </row>
    <row r="241" spans="1:18" ht="11.25" customHeight="1" x14ac:dyDescent="0.2">
      <c r="A241" s="408"/>
      <c r="B241" s="167" t="s">
        <v>277</v>
      </c>
      <c r="C241" s="181" t="s">
        <v>75</v>
      </c>
      <c r="D241" s="142"/>
      <c r="E241" s="316"/>
      <c r="F241" s="114"/>
      <c r="G241" s="114"/>
      <c r="H241" s="114"/>
      <c r="I241" s="114"/>
      <c r="J241" s="114"/>
      <c r="K241" s="114"/>
      <c r="L241" s="114"/>
      <c r="M241" s="114"/>
      <c r="N241" s="114"/>
      <c r="O241" s="114"/>
      <c r="P241" s="114"/>
      <c r="Q241" s="114"/>
      <c r="R241" s="317">
        <f t="shared" ref="R241:R247" si="8">+E241*$D241</f>
        <v>0</v>
      </c>
    </row>
    <row r="242" spans="1:18" ht="11.25" customHeight="1" x14ac:dyDescent="0.2">
      <c r="A242" s="109"/>
      <c r="B242" s="174" t="s">
        <v>333</v>
      </c>
      <c r="C242" s="110" t="s">
        <v>75</v>
      </c>
      <c r="D242" s="318"/>
      <c r="E242" s="242"/>
      <c r="F242" s="156"/>
      <c r="G242" s="156"/>
      <c r="H242" s="156"/>
      <c r="I242" s="156"/>
      <c r="J242" s="156"/>
      <c r="K242" s="156"/>
      <c r="L242" s="156"/>
      <c r="M242" s="156"/>
      <c r="N242" s="156"/>
      <c r="O242" s="156"/>
      <c r="P242" s="156"/>
      <c r="Q242" s="156"/>
      <c r="R242" s="274">
        <f t="shared" si="8"/>
        <v>0</v>
      </c>
    </row>
    <row r="243" spans="1:18" ht="11.25" customHeight="1" x14ac:dyDescent="0.2">
      <c r="A243" s="109"/>
      <c r="B243" s="174" t="s">
        <v>278</v>
      </c>
      <c r="C243" s="110" t="s">
        <v>75</v>
      </c>
      <c r="D243" s="318"/>
      <c r="E243" s="242"/>
      <c r="F243" s="156"/>
      <c r="G243" s="156"/>
      <c r="H243" s="156"/>
      <c r="I243" s="156"/>
      <c r="J243" s="156"/>
      <c r="K243" s="156"/>
      <c r="L243" s="156"/>
      <c r="M243" s="156"/>
      <c r="N243" s="156"/>
      <c r="O243" s="156"/>
      <c r="P243" s="156"/>
      <c r="Q243" s="156"/>
      <c r="R243" s="274">
        <f t="shared" si="8"/>
        <v>0</v>
      </c>
    </row>
    <row r="244" spans="1:18" ht="11.25" customHeight="1" x14ac:dyDescent="0.2">
      <c r="A244" s="109"/>
      <c r="B244" s="174" t="s">
        <v>279</v>
      </c>
      <c r="C244" s="110" t="s">
        <v>75</v>
      </c>
      <c r="D244" s="318"/>
      <c r="E244" s="242"/>
      <c r="F244" s="156"/>
      <c r="G244" s="156"/>
      <c r="H244" s="156"/>
      <c r="I244" s="156"/>
      <c r="J244" s="156"/>
      <c r="K244" s="156"/>
      <c r="L244" s="156"/>
      <c r="M244" s="156"/>
      <c r="N244" s="156"/>
      <c r="O244" s="156"/>
      <c r="P244" s="156"/>
      <c r="Q244" s="156"/>
      <c r="R244" s="274">
        <f t="shared" si="8"/>
        <v>0</v>
      </c>
    </row>
    <row r="245" spans="1:18" ht="11.25" customHeight="1" x14ac:dyDescent="0.2">
      <c r="A245" s="109"/>
      <c r="B245" s="174" t="s">
        <v>334</v>
      </c>
      <c r="C245" s="110" t="s">
        <v>280</v>
      </c>
      <c r="D245" s="318"/>
      <c r="E245" s="242"/>
      <c r="F245" s="156"/>
      <c r="G245" s="156"/>
      <c r="H245" s="156"/>
      <c r="I245" s="156"/>
      <c r="J245" s="156"/>
      <c r="K245" s="156"/>
      <c r="L245" s="156"/>
      <c r="M245" s="156"/>
      <c r="N245" s="156"/>
      <c r="O245" s="156"/>
      <c r="P245" s="156"/>
      <c r="Q245" s="156"/>
      <c r="R245" s="274">
        <f t="shared" si="8"/>
        <v>0</v>
      </c>
    </row>
    <row r="246" spans="1:18" ht="11.25" customHeight="1" x14ac:dyDescent="0.2">
      <c r="A246" s="109"/>
      <c r="B246" s="174" t="s">
        <v>335</v>
      </c>
      <c r="C246" s="110" t="s">
        <v>75</v>
      </c>
      <c r="D246" s="318"/>
      <c r="E246" s="242"/>
      <c r="F246" s="156"/>
      <c r="G246" s="156"/>
      <c r="H246" s="156"/>
      <c r="I246" s="156"/>
      <c r="J246" s="156"/>
      <c r="K246" s="156"/>
      <c r="L246" s="156"/>
      <c r="M246" s="156"/>
      <c r="N246" s="156"/>
      <c r="O246" s="156"/>
      <c r="P246" s="156"/>
      <c r="Q246" s="156"/>
      <c r="R246" s="274">
        <f t="shared" si="8"/>
        <v>0</v>
      </c>
    </row>
    <row r="247" spans="1:18" ht="11.25" customHeight="1" x14ac:dyDescent="0.2">
      <c r="A247" s="109"/>
      <c r="B247" s="174" t="s">
        <v>281</v>
      </c>
      <c r="C247" s="110" t="s">
        <v>75</v>
      </c>
      <c r="D247" s="318"/>
      <c r="E247" s="242"/>
      <c r="F247" s="156"/>
      <c r="G247" s="156"/>
      <c r="H247" s="156"/>
      <c r="I247" s="156"/>
      <c r="J247" s="156"/>
      <c r="K247" s="156"/>
      <c r="L247" s="156"/>
      <c r="M247" s="156"/>
      <c r="N247" s="156"/>
      <c r="O247" s="156"/>
      <c r="P247" s="156"/>
      <c r="Q247" s="156"/>
      <c r="R247" s="274">
        <f t="shared" si="8"/>
        <v>0</v>
      </c>
    </row>
    <row r="248" spans="1:18" ht="11.25" customHeight="1" x14ac:dyDescent="0.2">
      <c r="A248" s="139" t="s">
        <v>54</v>
      </c>
      <c r="B248" s="180" t="s">
        <v>55</v>
      </c>
      <c r="C248" s="162"/>
      <c r="D248" s="163"/>
      <c r="E248" s="247"/>
      <c r="F248" s="178"/>
      <c r="G248" s="178"/>
      <c r="H248" s="178"/>
      <c r="I248" s="178"/>
      <c r="J248" s="178"/>
      <c r="K248" s="178"/>
      <c r="L248" s="178"/>
      <c r="M248" s="178"/>
      <c r="N248" s="178"/>
      <c r="O248" s="178"/>
      <c r="P248" s="178"/>
      <c r="Q248" s="178"/>
      <c r="R248" s="409"/>
    </row>
    <row r="249" spans="1:18" ht="11.25" customHeight="1" x14ac:dyDescent="0.2">
      <c r="A249" s="95">
        <v>39800</v>
      </c>
      <c r="B249" s="96" t="s">
        <v>144</v>
      </c>
      <c r="C249" s="97"/>
      <c r="D249" s="98"/>
      <c r="E249" s="313"/>
      <c r="F249" s="314"/>
      <c r="G249" s="314"/>
      <c r="H249" s="314"/>
      <c r="I249" s="314"/>
      <c r="J249" s="314"/>
      <c r="K249" s="314"/>
      <c r="L249" s="314"/>
      <c r="M249" s="314"/>
      <c r="N249" s="314"/>
      <c r="O249" s="314"/>
      <c r="P249" s="314"/>
      <c r="Q249" s="314"/>
      <c r="R249" s="541">
        <f>SUM(R250:R255)</f>
        <v>0</v>
      </c>
    </row>
    <row r="250" spans="1:18" ht="11.25" customHeight="1" x14ac:dyDescent="0.2">
      <c r="A250" s="408"/>
      <c r="B250" s="167" t="s">
        <v>362</v>
      </c>
      <c r="C250" s="329" t="s">
        <v>75</v>
      </c>
      <c r="D250" s="410"/>
      <c r="E250" s="411"/>
      <c r="F250" s="156"/>
      <c r="G250" s="156"/>
      <c r="H250" s="156"/>
      <c r="I250" s="156"/>
      <c r="J250" s="156"/>
      <c r="K250" s="156"/>
      <c r="L250" s="156"/>
      <c r="M250" s="156"/>
      <c r="N250" s="156"/>
      <c r="O250" s="156"/>
      <c r="P250" s="156"/>
      <c r="Q250" s="156"/>
      <c r="R250" s="318">
        <f>+E250*$D250</f>
        <v>0</v>
      </c>
    </row>
    <row r="251" spans="1:18" ht="11.25" customHeight="1" x14ac:dyDescent="0.2">
      <c r="A251" s="109"/>
      <c r="B251" s="174" t="s">
        <v>282</v>
      </c>
      <c r="C251" s="110" t="s">
        <v>75</v>
      </c>
      <c r="D251" s="412"/>
      <c r="E251" s="242"/>
      <c r="F251" s="156"/>
      <c r="G251" s="156"/>
      <c r="H251" s="156"/>
      <c r="I251" s="156"/>
      <c r="J251" s="156"/>
      <c r="K251" s="156"/>
      <c r="L251" s="156"/>
      <c r="M251" s="156"/>
      <c r="N251" s="156"/>
      <c r="O251" s="156"/>
      <c r="P251" s="156"/>
      <c r="Q251" s="156"/>
      <c r="R251" s="318">
        <f>+E251*$D251</f>
        <v>0</v>
      </c>
    </row>
    <row r="252" spans="1:18" ht="11.25" customHeight="1" x14ac:dyDescent="0.2">
      <c r="A252" s="109"/>
      <c r="B252" s="174" t="s">
        <v>336</v>
      </c>
      <c r="C252" s="110" t="s">
        <v>75</v>
      </c>
      <c r="D252" s="412"/>
      <c r="E252" s="242"/>
      <c r="F252" s="156"/>
      <c r="G252" s="156"/>
      <c r="H252" s="156"/>
      <c r="I252" s="156"/>
      <c r="J252" s="156"/>
      <c r="K252" s="156"/>
      <c r="L252" s="156"/>
      <c r="M252" s="156"/>
      <c r="N252" s="156"/>
      <c r="O252" s="156"/>
      <c r="P252" s="156"/>
      <c r="Q252" s="156"/>
      <c r="R252" s="318">
        <f>+E252*$D252</f>
        <v>0</v>
      </c>
    </row>
    <row r="253" spans="1:18" ht="11.25" customHeight="1" x14ac:dyDescent="0.2">
      <c r="A253" s="413"/>
      <c r="B253" s="174" t="s">
        <v>365</v>
      </c>
      <c r="C253" s="110" t="s">
        <v>75</v>
      </c>
      <c r="D253" s="412"/>
      <c r="E253" s="411"/>
      <c r="F253" s="156"/>
      <c r="G253" s="156"/>
      <c r="H253" s="156"/>
      <c r="I253" s="156"/>
      <c r="J253" s="156"/>
      <c r="K253" s="156"/>
      <c r="L253" s="156"/>
      <c r="M253" s="156"/>
      <c r="N253" s="156"/>
      <c r="O253" s="156"/>
      <c r="P253" s="156"/>
      <c r="Q253" s="156"/>
      <c r="R253" s="318">
        <f>+E253*$D253</f>
        <v>0</v>
      </c>
    </row>
    <row r="254" spans="1:18" ht="11.25" customHeight="1" x14ac:dyDescent="0.2">
      <c r="A254" s="413"/>
      <c r="B254" s="174" t="s">
        <v>366</v>
      </c>
      <c r="C254" s="110" t="s">
        <v>75</v>
      </c>
      <c r="D254" s="412"/>
      <c r="E254" s="411"/>
      <c r="F254" s="156"/>
      <c r="G254" s="156"/>
      <c r="H254" s="156"/>
      <c r="I254" s="156"/>
      <c r="J254" s="156"/>
      <c r="K254" s="156"/>
      <c r="L254" s="156"/>
      <c r="M254" s="156"/>
      <c r="N254" s="156"/>
      <c r="O254" s="156"/>
      <c r="P254" s="156"/>
      <c r="Q254" s="156"/>
      <c r="R254" s="318">
        <f>+E254*$D254</f>
        <v>0</v>
      </c>
    </row>
    <row r="255" spans="1:18" ht="11.25" customHeight="1" thickBot="1" x14ac:dyDescent="0.25">
      <c r="A255" s="139" t="s">
        <v>54</v>
      </c>
      <c r="B255" s="180" t="s">
        <v>55</v>
      </c>
      <c r="C255" s="181"/>
      <c r="D255" s="182"/>
      <c r="E255" s="183"/>
      <c r="F255" s="204"/>
      <c r="G255" s="204"/>
      <c r="H255" s="204"/>
      <c r="I255" s="204"/>
      <c r="J255" s="204"/>
      <c r="K255" s="204"/>
      <c r="L255" s="204"/>
      <c r="M255" s="204"/>
      <c r="N255" s="204"/>
      <c r="O255" s="204"/>
      <c r="P255" s="204"/>
      <c r="Q255" s="204"/>
      <c r="R255" s="185"/>
    </row>
    <row r="256" spans="1:18" ht="11.25" customHeight="1" thickTop="1" thickBot="1" x14ac:dyDescent="0.25">
      <c r="A256" s="592">
        <v>40000</v>
      </c>
      <c r="B256" s="593" t="s">
        <v>87</v>
      </c>
      <c r="C256" s="594"/>
      <c r="D256" s="595"/>
      <c r="E256" s="596"/>
      <c r="F256" s="597"/>
      <c r="G256" s="597"/>
      <c r="H256" s="597"/>
      <c r="I256" s="597"/>
      <c r="J256" s="597"/>
      <c r="K256" s="597"/>
      <c r="L256" s="597"/>
      <c r="M256" s="597"/>
      <c r="N256" s="597"/>
      <c r="O256" s="597"/>
      <c r="P256" s="597"/>
      <c r="Q256" s="597"/>
      <c r="R256" s="599">
        <f>R257+R272</f>
        <v>0</v>
      </c>
    </row>
    <row r="257" spans="1:18" ht="11.25" customHeight="1" x14ac:dyDescent="0.2">
      <c r="A257" s="283">
        <v>43000</v>
      </c>
      <c r="B257" s="284" t="s">
        <v>88</v>
      </c>
      <c r="C257" s="350"/>
      <c r="D257" s="414"/>
      <c r="E257" s="415"/>
      <c r="F257" s="416"/>
      <c r="G257" s="416"/>
      <c r="H257" s="416"/>
      <c r="I257" s="416"/>
      <c r="J257" s="416"/>
      <c r="K257" s="416"/>
      <c r="L257" s="416"/>
      <c r="M257" s="416"/>
      <c r="N257" s="416"/>
      <c r="O257" s="416"/>
      <c r="P257" s="416"/>
      <c r="Q257" s="416"/>
      <c r="R257" s="417">
        <f>R258+R267</f>
        <v>0</v>
      </c>
    </row>
    <row r="258" spans="1:18" ht="11.25" customHeight="1" x14ac:dyDescent="0.2">
      <c r="A258" s="290">
        <v>43100</v>
      </c>
      <c r="B258" s="291" t="s">
        <v>89</v>
      </c>
      <c r="C258" s="418"/>
      <c r="D258" s="419"/>
      <c r="E258" s="420"/>
      <c r="F258" s="421"/>
      <c r="G258" s="421"/>
      <c r="H258" s="421"/>
      <c r="I258" s="421"/>
      <c r="J258" s="421"/>
      <c r="K258" s="421"/>
      <c r="L258" s="421"/>
      <c r="M258" s="421"/>
      <c r="N258" s="421"/>
      <c r="O258" s="421"/>
      <c r="P258" s="421"/>
      <c r="Q258" s="421"/>
      <c r="R258" s="195">
        <f>SUM(R259+R263)</f>
        <v>0</v>
      </c>
    </row>
    <row r="259" spans="1:18" ht="11.25" customHeight="1" x14ac:dyDescent="0.2">
      <c r="A259" s="102">
        <v>43110</v>
      </c>
      <c r="B259" s="103" t="s">
        <v>208</v>
      </c>
      <c r="C259" s="422"/>
      <c r="D259" s="268"/>
      <c r="E259" s="423"/>
      <c r="F259" s="424"/>
      <c r="G259" s="424"/>
      <c r="H259" s="424"/>
      <c r="I259" s="424"/>
      <c r="J259" s="424"/>
      <c r="K259" s="424"/>
      <c r="L259" s="424"/>
      <c r="M259" s="424"/>
      <c r="N259" s="424"/>
      <c r="O259" s="424"/>
      <c r="P259" s="424"/>
      <c r="Q259" s="424"/>
      <c r="R259" s="108">
        <f>SUM(R260:R262)</f>
        <v>0</v>
      </c>
    </row>
    <row r="260" spans="1:18" ht="11.25" customHeight="1" x14ac:dyDescent="0.2">
      <c r="A260" s="264"/>
      <c r="B260" s="120" t="s">
        <v>363</v>
      </c>
      <c r="C260" s="355" t="s">
        <v>75</v>
      </c>
      <c r="D260" s="256"/>
      <c r="E260" s="356"/>
      <c r="F260" s="320"/>
      <c r="G260" s="320"/>
      <c r="H260" s="320"/>
      <c r="I260" s="320"/>
      <c r="J260" s="320"/>
      <c r="K260" s="320"/>
      <c r="L260" s="320"/>
      <c r="M260" s="320"/>
      <c r="N260" s="320"/>
      <c r="O260" s="320"/>
      <c r="P260" s="320"/>
      <c r="Q260" s="320"/>
      <c r="R260" s="115">
        <f>+E260*$D260</f>
        <v>0</v>
      </c>
    </row>
    <row r="261" spans="1:18" ht="11.25" customHeight="1" x14ac:dyDescent="0.2">
      <c r="A261" s="264"/>
      <c r="B261" s="120" t="s">
        <v>364</v>
      </c>
      <c r="C261" s="355" t="s">
        <v>75</v>
      </c>
      <c r="D261" s="256"/>
      <c r="E261" s="356"/>
      <c r="F261" s="320"/>
      <c r="G261" s="320"/>
      <c r="H261" s="320"/>
      <c r="I261" s="320"/>
      <c r="J261" s="320"/>
      <c r="K261" s="320"/>
      <c r="L261" s="320"/>
      <c r="M261" s="320"/>
      <c r="N261" s="320"/>
      <c r="O261" s="320"/>
      <c r="P261" s="320"/>
      <c r="Q261" s="320"/>
      <c r="R261" s="115"/>
    </row>
    <row r="262" spans="1:18" ht="11.25" customHeight="1" x14ac:dyDescent="0.2">
      <c r="A262" s="264" t="s">
        <v>54</v>
      </c>
      <c r="B262" s="265" t="s">
        <v>55</v>
      </c>
      <c r="C262" s="355"/>
      <c r="D262" s="112"/>
      <c r="E262" s="356"/>
      <c r="F262" s="320"/>
      <c r="G262" s="320"/>
      <c r="H262" s="320"/>
      <c r="I262" s="320"/>
      <c r="J262" s="320"/>
      <c r="K262" s="320"/>
      <c r="L262" s="320"/>
      <c r="M262" s="320"/>
      <c r="N262" s="320"/>
      <c r="O262" s="320"/>
      <c r="P262" s="320"/>
      <c r="Q262" s="320"/>
      <c r="R262" s="425"/>
    </row>
    <row r="263" spans="1:18" ht="11.25" customHeight="1" x14ac:dyDescent="0.2">
      <c r="A263" s="122">
        <v>43120</v>
      </c>
      <c r="B263" s="123" t="s">
        <v>209</v>
      </c>
      <c r="C263" s="426"/>
      <c r="D263" s="223"/>
      <c r="E263" s="427"/>
      <c r="F263" s="428"/>
      <c r="G263" s="428"/>
      <c r="H263" s="428"/>
      <c r="I263" s="428"/>
      <c r="J263" s="428"/>
      <c r="K263" s="428"/>
      <c r="L263" s="428"/>
      <c r="M263" s="428"/>
      <c r="N263" s="428"/>
      <c r="O263" s="428"/>
      <c r="P263" s="428"/>
      <c r="Q263" s="428"/>
      <c r="R263" s="128">
        <f>SUM(R264:R266)</f>
        <v>0</v>
      </c>
    </row>
    <row r="264" spans="1:18" ht="11.25" customHeight="1" x14ac:dyDescent="0.2">
      <c r="A264" s="264"/>
      <c r="B264" s="429" t="s">
        <v>283</v>
      </c>
      <c r="C264" s="355" t="s">
        <v>90</v>
      </c>
      <c r="D264" s="121"/>
      <c r="E264" s="356"/>
      <c r="F264" s="320"/>
      <c r="G264" s="320"/>
      <c r="H264" s="320"/>
      <c r="I264" s="320"/>
      <c r="J264" s="320"/>
      <c r="K264" s="320"/>
      <c r="L264" s="320"/>
      <c r="M264" s="320"/>
      <c r="N264" s="320"/>
      <c r="O264" s="320"/>
      <c r="P264" s="320"/>
      <c r="Q264" s="320"/>
      <c r="R264" s="115">
        <f>+E264*$D264</f>
        <v>0</v>
      </c>
    </row>
    <row r="265" spans="1:18" ht="11.25" customHeight="1" x14ac:dyDescent="0.2">
      <c r="A265" s="264"/>
      <c r="B265" s="429" t="s">
        <v>284</v>
      </c>
      <c r="C265" s="355" t="s">
        <v>90</v>
      </c>
      <c r="D265" s="121"/>
      <c r="E265" s="356"/>
      <c r="F265" s="320"/>
      <c r="G265" s="320"/>
      <c r="H265" s="320"/>
      <c r="I265" s="320"/>
      <c r="J265" s="320"/>
      <c r="K265" s="320"/>
      <c r="L265" s="320"/>
      <c r="M265" s="320"/>
      <c r="N265" s="320"/>
      <c r="O265" s="320"/>
      <c r="P265" s="320"/>
      <c r="Q265" s="320"/>
      <c r="R265" s="115">
        <f>+E265*$D265</f>
        <v>0</v>
      </c>
    </row>
    <row r="266" spans="1:18" ht="11.25" customHeight="1" x14ac:dyDescent="0.2">
      <c r="A266" s="139" t="s">
        <v>54</v>
      </c>
      <c r="B266" s="180" t="s">
        <v>55</v>
      </c>
      <c r="C266" s="321"/>
      <c r="D266" s="335"/>
      <c r="E266" s="323"/>
      <c r="F266" s="336"/>
      <c r="G266" s="336"/>
      <c r="H266" s="336"/>
      <c r="I266" s="336"/>
      <c r="J266" s="336"/>
      <c r="K266" s="336"/>
      <c r="L266" s="336"/>
      <c r="M266" s="336"/>
      <c r="N266" s="336"/>
      <c r="O266" s="336"/>
      <c r="P266" s="336"/>
      <c r="Q266" s="336"/>
      <c r="R266" s="337"/>
    </row>
    <row r="267" spans="1:18" ht="11.25" customHeight="1" x14ac:dyDescent="0.2">
      <c r="A267" s="290">
        <v>43500</v>
      </c>
      <c r="B267" s="96" t="s">
        <v>210</v>
      </c>
      <c r="C267" s="418"/>
      <c r="D267" s="419"/>
      <c r="E267" s="420"/>
      <c r="F267" s="430"/>
      <c r="G267" s="430"/>
      <c r="H267" s="430"/>
      <c r="I267" s="430"/>
      <c r="J267" s="430"/>
      <c r="K267" s="430"/>
      <c r="L267" s="430"/>
      <c r="M267" s="430"/>
      <c r="N267" s="430"/>
      <c r="O267" s="430"/>
      <c r="P267" s="430"/>
      <c r="Q267" s="430"/>
      <c r="R267" s="195">
        <f>SUM(R268:R271)</f>
        <v>0</v>
      </c>
    </row>
    <row r="268" spans="1:18" ht="11.25" customHeight="1" x14ac:dyDescent="0.2">
      <c r="A268" s="431"/>
      <c r="B268" s="328" t="s">
        <v>211</v>
      </c>
      <c r="C268" s="386" t="s">
        <v>90</v>
      </c>
      <c r="D268" s="432"/>
      <c r="E268" s="433"/>
      <c r="F268" s="389"/>
      <c r="G268" s="389"/>
      <c r="H268" s="389"/>
      <c r="I268" s="389"/>
      <c r="J268" s="389"/>
      <c r="K268" s="389"/>
      <c r="L268" s="389"/>
      <c r="M268" s="389"/>
      <c r="N268" s="389"/>
      <c r="O268" s="389"/>
      <c r="P268" s="389"/>
      <c r="Q268" s="389"/>
      <c r="R268" s="172">
        <f>+E268*$D268</f>
        <v>0</v>
      </c>
    </row>
    <row r="269" spans="1:18" ht="11.25" customHeight="1" x14ac:dyDescent="0.2">
      <c r="A269" s="264"/>
      <c r="B269" s="429" t="s">
        <v>367</v>
      </c>
      <c r="C269" s="355" t="s">
        <v>90</v>
      </c>
      <c r="D269" s="121"/>
      <c r="E269" s="356"/>
      <c r="F269" s="320"/>
      <c r="G269" s="320"/>
      <c r="H269" s="320"/>
      <c r="I269" s="320"/>
      <c r="J269" s="320"/>
      <c r="K269" s="320"/>
      <c r="L269" s="320"/>
      <c r="M269" s="320"/>
      <c r="N269" s="320"/>
      <c r="O269" s="320"/>
      <c r="P269" s="320"/>
      <c r="Q269" s="320"/>
      <c r="R269" s="172">
        <f>+E269*$D269</f>
        <v>0</v>
      </c>
    </row>
    <row r="270" spans="1:18" ht="11.25" customHeight="1" x14ac:dyDescent="0.2">
      <c r="A270" s="264"/>
      <c r="B270" s="429" t="s">
        <v>368</v>
      </c>
      <c r="C270" s="355" t="s">
        <v>90</v>
      </c>
      <c r="D270" s="121"/>
      <c r="E270" s="356"/>
      <c r="F270" s="320"/>
      <c r="G270" s="320"/>
      <c r="H270" s="320"/>
      <c r="I270" s="320"/>
      <c r="J270" s="320"/>
      <c r="K270" s="320"/>
      <c r="L270" s="320"/>
      <c r="M270" s="320"/>
      <c r="N270" s="320"/>
      <c r="O270" s="320"/>
      <c r="P270" s="320"/>
      <c r="Q270" s="320"/>
      <c r="R270" s="172">
        <f>+E270*$D270</f>
        <v>0</v>
      </c>
    </row>
    <row r="271" spans="1:18" ht="11.25" customHeight="1" thickBot="1" x14ac:dyDescent="0.25">
      <c r="A271" s="200" t="s">
        <v>54</v>
      </c>
      <c r="B271" s="201" t="s">
        <v>55</v>
      </c>
      <c r="C271" s="378"/>
      <c r="D271" s="379"/>
      <c r="E271" s="380"/>
      <c r="F271" s="434"/>
      <c r="G271" s="434"/>
      <c r="H271" s="434"/>
      <c r="I271" s="434"/>
      <c r="J271" s="434"/>
      <c r="K271" s="434"/>
      <c r="L271" s="434"/>
      <c r="M271" s="434"/>
      <c r="N271" s="434"/>
      <c r="O271" s="434"/>
      <c r="P271" s="434"/>
      <c r="Q271" s="434"/>
      <c r="R271" s="382"/>
    </row>
    <row r="272" spans="1:18" ht="11.25" customHeight="1" x14ac:dyDescent="0.2">
      <c r="A272" s="435">
        <v>49000</v>
      </c>
      <c r="B272" s="436" t="s">
        <v>88</v>
      </c>
      <c r="C272" s="437"/>
      <c r="D272" s="438"/>
      <c r="E272" s="439"/>
      <c r="F272" s="440"/>
      <c r="G272" s="440"/>
      <c r="H272" s="440"/>
      <c r="I272" s="440"/>
      <c r="J272" s="440"/>
      <c r="K272" s="440"/>
      <c r="L272" s="440"/>
      <c r="M272" s="440"/>
      <c r="N272" s="440"/>
      <c r="O272" s="440"/>
      <c r="P272" s="440"/>
      <c r="Q272" s="440"/>
      <c r="R272" s="441">
        <f>R273</f>
        <v>0</v>
      </c>
    </row>
    <row r="273" spans="1:18" ht="11.25" customHeight="1" x14ac:dyDescent="0.2">
      <c r="A273" s="290">
        <v>49100</v>
      </c>
      <c r="B273" s="96" t="s">
        <v>147</v>
      </c>
      <c r="C273" s="418"/>
      <c r="D273" s="419"/>
      <c r="E273" s="420"/>
      <c r="F273" s="421"/>
      <c r="G273" s="421"/>
      <c r="H273" s="421"/>
      <c r="I273" s="421"/>
      <c r="J273" s="421"/>
      <c r="K273" s="421"/>
      <c r="L273" s="421"/>
      <c r="M273" s="421"/>
      <c r="N273" s="421"/>
      <c r="O273" s="421"/>
      <c r="P273" s="421"/>
      <c r="Q273" s="421"/>
      <c r="R273" s="195">
        <f>SUM(R274:R275)</f>
        <v>0</v>
      </c>
    </row>
    <row r="274" spans="1:18" ht="11.25" customHeight="1" x14ac:dyDescent="0.2">
      <c r="A274" s="362"/>
      <c r="B274" s="363" t="s">
        <v>212</v>
      </c>
      <c r="C274" s="364" t="s">
        <v>176</v>
      </c>
      <c r="D274" s="365"/>
      <c r="E274" s="366"/>
      <c r="F274" s="377"/>
      <c r="G274" s="377"/>
      <c r="H274" s="377"/>
      <c r="I274" s="377"/>
      <c r="J274" s="377"/>
      <c r="K274" s="377"/>
      <c r="L274" s="377"/>
      <c r="M274" s="377"/>
      <c r="N274" s="377"/>
      <c r="O274" s="377"/>
      <c r="P274" s="377"/>
      <c r="Q274" s="377"/>
      <c r="R274" s="368">
        <f>+E274*$D274</f>
        <v>0</v>
      </c>
    </row>
    <row r="275" spans="1:18" ht="11.25" customHeight="1" thickBot="1" x14ac:dyDescent="0.25">
      <c r="A275" s="276" t="s">
        <v>54</v>
      </c>
      <c r="B275" s="277" t="s">
        <v>55</v>
      </c>
      <c r="C275" s="278"/>
      <c r="D275" s="279"/>
      <c r="E275" s="280"/>
      <c r="F275" s="281"/>
      <c r="G275" s="281"/>
      <c r="H275" s="281"/>
      <c r="I275" s="281"/>
      <c r="J275" s="281"/>
      <c r="K275" s="281"/>
      <c r="L275" s="281"/>
      <c r="M275" s="281"/>
      <c r="N275" s="281"/>
      <c r="O275" s="281"/>
      <c r="P275" s="281"/>
      <c r="Q275" s="281"/>
      <c r="R275" s="442"/>
    </row>
    <row r="276" spans="1:18" ht="11.25" customHeight="1" thickTop="1" thickBot="1" x14ac:dyDescent="0.25">
      <c r="A276" s="592">
        <v>70000</v>
      </c>
      <c r="B276" s="593" t="s">
        <v>213</v>
      </c>
      <c r="C276" s="594"/>
      <c r="D276" s="595"/>
      <c r="E276" s="596"/>
      <c r="F276" s="597"/>
      <c r="G276" s="597"/>
      <c r="H276" s="597"/>
      <c r="I276" s="597"/>
      <c r="J276" s="597"/>
      <c r="K276" s="597"/>
      <c r="L276" s="597"/>
      <c r="M276" s="597"/>
      <c r="N276" s="597"/>
      <c r="O276" s="597"/>
      <c r="P276" s="597"/>
      <c r="Q276" s="597"/>
      <c r="R276" s="599">
        <f>R277</f>
        <v>0</v>
      </c>
    </row>
    <row r="277" spans="1:18" ht="11.25" customHeight="1" x14ac:dyDescent="0.2">
      <c r="A277" s="306">
        <v>75000</v>
      </c>
      <c r="B277" s="341" t="s">
        <v>214</v>
      </c>
      <c r="C277" s="308"/>
      <c r="D277" s="309"/>
      <c r="E277" s="310"/>
      <c r="F277" s="311"/>
      <c r="G277" s="311"/>
      <c r="H277" s="311"/>
      <c r="I277" s="311"/>
      <c r="J277" s="311"/>
      <c r="K277" s="311"/>
      <c r="L277" s="311"/>
      <c r="M277" s="311"/>
      <c r="N277" s="311"/>
      <c r="O277" s="311"/>
      <c r="P277" s="311"/>
      <c r="Q277" s="311"/>
      <c r="R277" s="312">
        <f>R278</f>
        <v>0</v>
      </c>
    </row>
    <row r="278" spans="1:18" ht="11.25" customHeight="1" x14ac:dyDescent="0.2">
      <c r="A278" s="290">
        <v>75300</v>
      </c>
      <c r="B278" s="96" t="s">
        <v>215</v>
      </c>
      <c r="C278" s="418"/>
      <c r="D278" s="419"/>
      <c r="E278" s="420"/>
      <c r="F278" s="421"/>
      <c r="G278" s="421"/>
      <c r="H278" s="421"/>
      <c r="I278" s="421"/>
      <c r="J278" s="421"/>
      <c r="K278" s="421"/>
      <c r="L278" s="421"/>
      <c r="M278" s="421"/>
      <c r="N278" s="421"/>
      <c r="O278" s="421"/>
      <c r="P278" s="421"/>
      <c r="Q278" s="421"/>
      <c r="R278" s="195">
        <f>SUM(R279:R280)</f>
        <v>0</v>
      </c>
    </row>
    <row r="279" spans="1:18" ht="11.25" customHeight="1" x14ac:dyDescent="0.2">
      <c r="A279" s="362"/>
      <c r="B279" s="363" t="s">
        <v>337</v>
      </c>
      <c r="C279" s="364" t="s">
        <v>176</v>
      </c>
      <c r="D279" s="365"/>
      <c r="E279" s="366"/>
      <c r="F279" s="377"/>
      <c r="G279" s="377"/>
      <c r="H279" s="377"/>
      <c r="I279" s="377"/>
      <c r="J279" s="377"/>
      <c r="K279" s="377"/>
      <c r="L279" s="377"/>
      <c r="M279" s="377"/>
      <c r="N279" s="377"/>
      <c r="O279" s="377"/>
      <c r="P279" s="377"/>
      <c r="Q279" s="377"/>
      <c r="R279" s="368">
        <f>+E279*$D279</f>
        <v>0</v>
      </c>
    </row>
    <row r="280" spans="1:18" ht="11.25" customHeight="1" thickBot="1" x14ac:dyDescent="0.25">
      <c r="A280" s="276" t="s">
        <v>54</v>
      </c>
      <c r="B280" s="277" t="s">
        <v>55</v>
      </c>
      <c r="C280" s="278"/>
      <c r="D280" s="279"/>
      <c r="E280" s="280"/>
      <c r="F280" s="281"/>
      <c r="G280" s="281"/>
      <c r="H280" s="281"/>
      <c r="I280" s="281"/>
      <c r="J280" s="281"/>
      <c r="K280" s="281"/>
      <c r="L280" s="281"/>
      <c r="M280" s="281"/>
      <c r="N280" s="281"/>
      <c r="O280" s="281"/>
      <c r="P280" s="281"/>
      <c r="Q280" s="281"/>
      <c r="R280" s="442"/>
    </row>
    <row r="281" spans="1:18" ht="11.25" customHeight="1" thickTop="1" thickBot="1" x14ac:dyDescent="0.25">
      <c r="A281" s="592">
        <v>90000</v>
      </c>
      <c r="B281" s="593" t="s">
        <v>148</v>
      </c>
      <c r="C281" s="594"/>
      <c r="D281" s="595"/>
      <c r="E281" s="596"/>
      <c r="F281" s="597"/>
      <c r="G281" s="597"/>
      <c r="H281" s="597"/>
      <c r="I281" s="597"/>
      <c r="J281" s="597"/>
      <c r="K281" s="597"/>
      <c r="L281" s="597"/>
      <c r="M281" s="597"/>
      <c r="N281" s="597"/>
      <c r="O281" s="597"/>
      <c r="P281" s="597"/>
      <c r="Q281" s="597"/>
      <c r="R281" s="599">
        <f>R282</f>
        <v>0</v>
      </c>
    </row>
    <row r="282" spans="1:18" ht="11.25" customHeight="1" x14ac:dyDescent="0.2">
      <c r="A282" s="283">
        <v>96000</v>
      </c>
      <c r="B282" s="284" t="s">
        <v>149</v>
      </c>
      <c r="C282" s="350"/>
      <c r="D282" s="414"/>
      <c r="E282" s="415"/>
      <c r="F282" s="416"/>
      <c r="G282" s="416"/>
      <c r="H282" s="416"/>
      <c r="I282" s="416"/>
      <c r="J282" s="416"/>
      <c r="K282" s="416"/>
      <c r="L282" s="416"/>
      <c r="M282" s="416"/>
      <c r="N282" s="416"/>
      <c r="O282" s="416"/>
      <c r="P282" s="416"/>
      <c r="Q282" s="416"/>
      <c r="R282" s="417">
        <f>R283</f>
        <v>0</v>
      </c>
    </row>
    <row r="283" spans="1:18" ht="11.25" customHeight="1" x14ac:dyDescent="0.2">
      <c r="A283" s="290">
        <v>96100</v>
      </c>
      <c r="B283" s="291" t="s">
        <v>150</v>
      </c>
      <c r="C283" s="418"/>
      <c r="D283" s="419"/>
      <c r="E283" s="420"/>
      <c r="F283" s="421"/>
      <c r="G283" s="421"/>
      <c r="H283" s="421"/>
      <c r="I283" s="421"/>
      <c r="J283" s="421"/>
      <c r="K283" s="421"/>
      <c r="L283" s="421"/>
      <c r="M283" s="421"/>
      <c r="N283" s="421"/>
      <c r="O283" s="421"/>
      <c r="P283" s="421"/>
      <c r="Q283" s="421"/>
      <c r="R283" s="195">
        <f>SUM(R284:R285)</f>
        <v>0</v>
      </c>
    </row>
    <row r="284" spans="1:18" ht="11.25" customHeight="1" x14ac:dyDescent="0.2">
      <c r="A284" s="431"/>
      <c r="B284" s="328" t="s">
        <v>216</v>
      </c>
      <c r="C284" s="386" t="s">
        <v>176</v>
      </c>
      <c r="D284" s="252"/>
      <c r="E284" s="433"/>
      <c r="F284" s="443"/>
      <c r="G284" s="443"/>
      <c r="H284" s="443"/>
      <c r="I284" s="443"/>
      <c r="J284" s="443"/>
      <c r="K284" s="443"/>
      <c r="L284" s="443"/>
      <c r="M284" s="443"/>
      <c r="N284" s="443"/>
      <c r="O284" s="443"/>
      <c r="P284" s="443"/>
      <c r="Q284" s="443"/>
      <c r="R284" s="172">
        <f>+E284*$D284</f>
        <v>0</v>
      </c>
    </row>
    <row r="285" spans="1:18" ht="11.25" customHeight="1" thickBot="1" x14ac:dyDescent="0.25">
      <c r="A285" s="139" t="s">
        <v>54</v>
      </c>
      <c r="B285" s="180" t="s">
        <v>55</v>
      </c>
      <c r="C285" s="321"/>
      <c r="D285" s="335"/>
      <c r="E285" s="323"/>
      <c r="F285" s="324"/>
      <c r="G285" s="324"/>
      <c r="H285" s="324"/>
      <c r="I285" s="324"/>
      <c r="J285" s="324"/>
      <c r="K285" s="324"/>
      <c r="L285" s="324"/>
      <c r="M285" s="324"/>
      <c r="N285" s="324"/>
      <c r="O285" s="324"/>
      <c r="P285" s="324"/>
      <c r="Q285" s="324"/>
      <c r="R285" s="337"/>
    </row>
    <row r="286" spans="1:18" ht="11.25" customHeight="1" thickTop="1" thickBot="1" x14ac:dyDescent="0.25">
      <c r="A286" s="534"/>
      <c r="B286" s="535" t="s">
        <v>285</v>
      </c>
      <c r="C286" s="536"/>
      <c r="D286" s="537"/>
      <c r="E286" s="538"/>
      <c r="F286" s="539"/>
      <c r="G286" s="539"/>
      <c r="H286" s="539"/>
      <c r="I286" s="539"/>
      <c r="J286" s="539"/>
      <c r="K286" s="539"/>
      <c r="L286" s="539"/>
      <c r="M286" s="539"/>
      <c r="N286" s="539"/>
      <c r="O286" s="539"/>
      <c r="P286" s="539"/>
      <c r="Q286" s="539"/>
      <c r="R286" s="540">
        <f>R7+R147+R256+R276+R281</f>
        <v>0</v>
      </c>
    </row>
    <row r="287" spans="1:18" ht="11.25" customHeight="1" thickTop="1" x14ac:dyDescent="0.2">
      <c r="A287" s="444" t="s">
        <v>378</v>
      </c>
      <c r="B287" s="445"/>
      <c r="C287" s="446"/>
      <c r="D287" s="447"/>
      <c r="E287" s="448"/>
      <c r="F287" s="449"/>
      <c r="G287" s="449"/>
      <c r="H287" s="449"/>
      <c r="I287" s="449"/>
      <c r="J287" s="449"/>
      <c r="K287" s="449"/>
      <c r="L287" s="449"/>
      <c r="M287" s="449"/>
      <c r="N287" s="449"/>
      <c r="O287" s="449"/>
      <c r="P287" s="449"/>
      <c r="Q287" s="449"/>
      <c r="R287" s="450"/>
    </row>
    <row r="288" spans="1:18" ht="11.25" customHeight="1" x14ac:dyDescent="0.2">
      <c r="A288" s="444" t="s">
        <v>376</v>
      </c>
      <c r="B288" s="445"/>
      <c r="C288" s="446"/>
      <c r="D288" s="447"/>
      <c r="E288" s="448"/>
      <c r="F288" s="449"/>
      <c r="G288" s="449"/>
      <c r="H288" s="449"/>
      <c r="I288" s="449"/>
      <c r="J288" s="449"/>
      <c r="K288" s="449"/>
      <c r="L288" s="449"/>
      <c r="M288" s="449"/>
      <c r="N288" s="449"/>
      <c r="O288" s="449"/>
      <c r="P288" s="449"/>
      <c r="Q288" s="449"/>
      <c r="R288" s="450"/>
    </row>
    <row r="289" spans="1:18" ht="6" customHeight="1" thickBot="1" x14ac:dyDescent="0.25">
      <c r="A289" s="451"/>
      <c r="B289" s="451"/>
      <c r="C289" s="451"/>
      <c r="D289" s="452"/>
      <c r="E289" s="453"/>
      <c r="F289" s="454"/>
      <c r="G289" s="454"/>
      <c r="H289" s="454"/>
      <c r="I289" s="454"/>
      <c r="J289" s="454"/>
      <c r="K289" s="454"/>
      <c r="L289" s="454"/>
      <c r="M289" s="454"/>
      <c r="N289" s="454"/>
      <c r="O289" s="454"/>
      <c r="P289" s="454"/>
      <c r="Q289" s="454"/>
      <c r="R289" s="455"/>
    </row>
    <row r="290" spans="1:18" ht="17.25" customHeight="1" thickBot="1" x14ac:dyDescent="0.25">
      <c r="A290" s="1816" t="s">
        <v>91</v>
      </c>
      <c r="B290" s="1817"/>
      <c r="C290" s="1816" t="s">
        <v>11</v>
      </c>
      <c r="D290" s="1854"/>
      <c r="E290" s="1854"/>
      <c r="F290" s="1817"/>
      <c r="G290" s="1816" t="s">
        <v>12</v>
      </c>
      <c r="H290" s="1854"/>
      <c r="I290" s="1854"/>
      <c r="J290" s="1854"/>
      <c r="K290" s="1854"/>
      <c r="L290" s="1854"/>
      <c r="M290" s="1854"/>
      <c r="N290" s="1817"/>
      <c r="O290" s="1854" t="s">
        <v>13</v>
      </c>
      <c r="P290" s="1854"/>
      <c r="Q290" s="1854"/>
      <c r="R290" s="1817"/>
    </row>
    <row r="291" spans="1:18" ht="38.25" customHeight="1" x14ac:dyDescent="0.2">
      <c r="A291" s="1830" t="s">
        <v>29</v>
      </c>
      <c r="B291" s="1831"/>
      <c r="C291" s="1840"/>
      <c r="D291" s="1841"/>
      <c r="E291" s="1841"/>
      <c r="F291" s="1842"/>
      <c r="G291" s="1843"/>
      <c r="H291" s="1844"/>
      <c r="I291" s="1844"/>
      <c r="J291" s="1844"/>
      <c r="K291" s="1844"/>
      <c r="L291" s="1844"/>
      <c r="M291" s="1844"/>
      <c r="N291" s="1845"/>
      <c r="O291" s="1852"/>
      <c r="P291" s="1852"/>
      <c r="Q291" s="1852"/>
      <c r="R291" s="1853"/>
    </row>
    <row r="292" spans="1:18" ht="38.25" customHeight="1" x14ac:dyDescent="0.2">
      <c r="A292" s="1830" t="s">
        <v>290</v>
      </c>
      <c r="B292" s="1831"/>
      <c r="C292" s="1832"/>
      <c r="D292" s="1833"/>
      <c r="E292" s="1833"/>
      <c r="F292" s="1834"/>
      <c r="G292" s="1835"/>
      <c r="H292" s="1836"/>
      <c r="I292" s="1836"/>
      <c r="J292" s="1836"/>
      <c r="K292" s="1836"/>
      <c r="L292" s="1836"/>
      <c r="M292" s="1836"/>
      <c r="N292" s="1837"/>
      <c r="O292" s="1828"/>
      <c r="P292" s="1828"/>
      <c r="Q292" s="1828"/>
      <c r="R292" s="1829"/>
    </row>
    <row r="293" spans="1:18" ht="38.25" customHeight="1" thickBot="1" x14ac:dyDescent="0.25">
      <c r="A293" s="1818" t="s">
        <v>289</v>
      </c>
      <c r="B293" s="1819"/>
      <c r="C293" s="1820"/>
      <c r="D293" s="1821"/>
      <c r="E293" s="1821"/>
      <c r="F293" s="1822"/>
      <c r="G293" s="1823"/>
      <c r="H293" s="1824"/>
      <c r="I293" s="1824"/>
      <c r="J293" s="1824"/>
      <c r="K293" s="1824"/>
      <c r="L293" s="1824"/>
      <c r="M293" s="1824"/>
      <c r="N293" s="1825"/>
      <c r="O293" s="1826"/>
      <c r="P293" s="1826"/>
      <c r="Q293" s="1826"/>
      <c r="R293" s="1827"/>
    </row>
    <row r="294" spans="1:18" x14ac:dyDescent="0.2">
      <c r="A294" s="7"/>
      <c r="B294" s="7"/>
      <c r="C294" s="7"/>
      <c r="D294" s="16"/>
      <c r="E294" s="12"/>
      <c r="F294" s="14"/>
      <c r="G294" s="14"/>
      <c r="H294" s="14"/>
      <c r="I294" s="14"/>
      <c r="J294" s="14"/>
      <c r="K294" s="14"/>
      <c r="L294" s="14"/>
      <c r="M294" s="14"/>
      <c r="N294" s="14"/>
      <c r="O294" s="14"/>
      <c r="P294" s="14"/>
      <c r="Q294" s="14"/>
      <c r="R294" s="7"/>
    </row>
    <row r="295" spans="1:18" x14ac:dyDescent="0.2">
      <c r="A295" s="7"/>
      <c r="B295" s="7"/>
      <c r="C295" s="7"/>
      <c r="D295" s="16"/>
      <c r="E295" s="12"/>
      <c r="F295" s="14"/>
      <c r="G295" s="14"/>
      <c r="H295" s="14"/>
      <c r="I295" s="14"/>
      <c r="J295" s="14"/>
      <c r="K295" s="14"/>
      <c r="L295" s="14"/>
      <c r="M295" s="14"/>
      <c r="N295" s="14"/>
      <c r="O295" s="14"/>
      <c r="P295" s="14"/>
      <c r="Q295" s="14"/>
      <c r="R295" s="7"/>
    </row>
    <row r="296" spans="1:18" x14ac:dyDescent="0.2">
      <c r="A296" s="7"/>
      <c r="B296" s="7"/>
      <c r="C296" s="7"/>
      <c r="D296" s="16"/>
      <c r="E296" s="12"/>
      <c r="F296" s="14"/>
      <c r="G296" s="14"/>
      <c r="H296" s="14"/>
      <c r="I296" s="14"/>
      <c r="J296" s="14"/>
      <c r="K296" s="14"/>
      <c r="L296" s="14"/>
      <c r="M296" s="14"/>
      <c r="N296" s="14"/>
      <c r="O296" s="14"/>
      <c r="P296" s="14"/>
      <c r="Q296" s="14"/>
      <c r="R296" s="7"/>
    </row>
    <row r="297" spans="1:18" x14ac:dyDescent="0.2">
      <c r="A297" s="7"/>
      <c r="B297" s="7"/>
      <c r="C297" s="7"/>
      <c r="D297" s="16"/>
      <c r="E297" s="12"/>
      <c r="F297" s="14"/>
      <c r="G297" s="14"/>
      <c r="H297" s="14"/>
      <c r="I297" s="14"/>
      <c r="J297" s="14"/>
      <c r="K297" s="14"/>
      <c r="L297" s="14"/>
      <c r="M297" s="14"/>
      <c r="N297" s="14"/>
      <c r="O297" s="14"/>
      <c r="P297" s="14"/>
      <c r="Q297" s="14"/>
      <c r="R297" s="7"/>
    </row>
    <row r="298" spans="1:18" x14ac:dyDescent="0.2">
      <c r="A298" s="7"/>
      <c r="B298" s="7"/>
      <c r="C298" s="7"/>
      <c r="D298" s="16"/>
      <c r="E298" s="12"/>
      <c r="F298" s="14"/>
      <c r="G298" s="14"/>
      <c r="H298" s="14"/>
      <c r="I298" s="14"/>
      <c r="J298" s="14"/>
      <c r="K298" s="14"/>
      <c r="L298" s="14"/>
      <c r="M298" s="14"/>
      <c r="N298" s="14"/>
      <c r="O298" s="14"/>
      <c r="P298" s="14"/>
      <c r="Q298" s="14"/>
      <c r="R298" s="7"/>
    </row>
    <row r="299" spans="1:18" x14ac:dyDescent="0.2">
      <c r="A299" s="7"/>
      <c r="B299" s="7"/>
      <c r="C299" s="7"/>
      <c r="D299" s="16"/>
      <c r="E299" s="12"/>
      <c r="F299" s="14"/>
      <c r="G299" s="14"/>
      <c r="H299" s="14"/>
      <c r="I299" s="14"/>
      <c r="J299" s="14"/>
      <c r="K299" s="14"/>
      <c r="L299" s="14"/>
      <c r="M299" s="14"/>
      <c r="N299" s="14"/>
      <c r="O299" s="14"/>
      <c r="P299" s="14"/>
      <c r="Q299" s="14"/>
      <c r="R299" s="7"/>
    </row>
    <row r="300" spans="1:18" x14ac:dyDescent="0.2">
      <c r="A300" s="7"/>
      <c r="B300" s="7"/>
      <c r="C300" s="7"/>
      <c r="D300" s="16"/>
      <c r="E300" s="12"/>
      <c r="F300" s="14"/>
      <c r="G300" s="14"/>
      <c r="H300" s="14"/>
      <c r="I300" s="14"/>
      <c r="J300" s="14"/>
      <c r="K300" s="14"/>
      <c r="L300" s="14"/>
      <c r="M300" s="14"/>
      <c r="N300" s="14"/>
      <c r="O300" s="14"/>
      <c r="P300" s="14"/>
      <c r="Q300" s="14"/>
      <c r="R300" s="7"/>
    </row>
    <row r="301" spans="1:18" x14ac:dyDescent="0.2">
      <c r="A301" s="7"/>
      <c r="B301" s="7"/>
      <c r="C301" s="7"/>
      <c r="D301" s="16"/>
      <c r="E301" s="12"/>
      <c r="F301" s="14"/>
      <c r="G301" s="14"/>
      <c r="H301" s="14"/>
      <c r="I301" s="14"/>
      <c r="J301" s="14"/>
      <c r="K301" s="14"/>
      <c r="L301" s="14"/>
      <c r="M301" s="14"/>
      <c r="N301" s="14"/>
      <c r="O301" s="14"/>
      <c r="P301" s="14"/>
      <c r="Q301" s="14"/>
      <c r="R301" s="7"/>
    </row>
    <row r="302" spans="1:18" x14ac:dyDescent="0.2">
      <c r="A302" s="7"/>
      <c r="B302" s="7"/>
      <c r="C302" s="7"/>
      <c r="D302" s="16"/>
      <c r="E302" s="12"/>
      <c r="F302" s="14"/>
      <c r="G302" s="14"/>
      <c r="H302" s="14"/>
      <c r="I302" s="14"/>
      <c r="J302" s="14"/>
      <c r="K302" s="14"/>
      <c r="L302" s="14"/>
      <c r="M302" s="14"/>
      <c r="N302" s="14"/>
      <c r="O302" s="14"/>
      <c r="P302" s="14"/>
      <c r="Q302" s="14"/>
      <c r="R302" s="7"/>
    </row>
    <row r="303" spans="1:18" x14ac:dyDescent="0.2">
      <c r="A303" s="7"/>
      <c r="B303" s="7"/>
      <c r="C303" s="7"/>
      <c r="D303" s="16"/>
      <c r="E303" s="12"/>
      <c r="F303" s="14"/>
      <c r="G303" s="14"/>
      <c r="H303" s="14"/>
      <c r="I303" s="14"/>
      <c r="J303" s="14"/>
      <c r="K303" s="14"/>
      <c r="L303" s="14"/>
      <c r="M303" s="14"/>
      <c r="N303" s="14"/>
      <c r="O303" s="14"/>
      <c r="P303" s="14"/>
      <c r="Q303" s="14"/>
      <c r="R303" s="7"/>
    </row>
    <row r="304" spans="1:18" x14ac:dyDescent="0.2">
      <c r="A304" s="7"/>
      <c r="B304" s="7"/>
      <c r="C304" s="7"/>
      <c r="D304" s="16"/>
      <c r="E304" s="12"/>
      <c r="F304" s="14"/>
      <c r="G304" s="14"/>
      <c r="H304" s="14"/>
      <c r="I304" s="14"/>
      <c r="J304" s="14"/>
      <c r="K304" s="14"/>
      <c r="L304" s="14"/>
      <c r="M304" s="14"/>
      <c r="N304" s="14"/>
      <c r="O304" s="14"/>
      <c r="P304" s="14"/>
      <c r="Q304" s="14"/>
      <c r="R304" s="7"/>
    </row>
    <row r="305" spans="1:18" x14ac:dyDescent="0.2">
      <c r="A305" s="7"/>
      <c r="B305" s="7"/>
      <c r="C305" s="7"/>
      <c r="D305" s="16"/>
      <c r="E305" s="12"/>
      <c r="F305" s="14"/>
      <c r="G305" s="14"/>
      <c r="H305" s="14"/>
      <c r="I305" s="14"/>
      <c r="J305" s="14"/>
      <c r="K305" s="14"/>
      <c r="L305" s="14"/>
      <c r="M305" s="14"/>
      <c r="N305" s="14"/>
      <c r="O305" s="14"/>
      <c r="P305" s="14"/>
      <c r="Q305" s="14"/>
      <c r="R305" s="7"/>
    </row>
    <row r="306" spans="1:18" x14ac:dyDescent="0.2">
      <c r="A306" s="7"/>
      <c r="B306" s="7"/>
      <c r="C306" s="7"/>
      <c r="D306" s="16"/>
      <c r="E306" s="12"/>
      <c r="F306" s="14"/>
      <c r="G306" s="14"/>
      <c r="H306" s="14"/>
      <c r="I306" s="14"/>
      <c r="J306" s="14"/>
      <c r="K306" s="14"/>
      <c r="L306" s="14"/>
      <c r="M306" s="14"/>
      <c r="N306" s="14"/>
      <c r="O306" s="14"/>
      <c r="P306" s="14"/>
      <c r="Q306" s="14"/>
      <c r="R306" s="7"/>
    </row>
    <row r="307" spans="1:18" x14ac:dyDescent="0.2">
      <c r="A307" s="7"/>
      <c r="B307" s="7"/>
      <c r="C307" s="7"/>
      <c r="D307" s="16"/>
      <c r="E307" s="12"/>
      <c r="F307" s="14"/>
      <c r="G307" s="14"/>
      <c r="H307" s="14"/>
      <c r="I307" s="14"/>
      <c r="J307" s="14"/>
      <c r="K307" s="14"/>
      <c r="L307" s="14"/>
      <c r="M307" s="14"/>
      <c r="N307" s="14"/>
      <c r="O307" s="14"/>
      <c r="P307" s="14"/>
      <c r="Q307" s="14"/>
      <c r="R307" s="7"/>
    </row>
    <row r="308" spans="1:18" x14ac:dyDescent="0.2">
      <c r="A308" s="7"/>
      <c r="B308" s="7"/>
      <c r="C308" s="7"/>
      <c r="D308" s="16"/>
      <c r="E308" s="12"/>
      <c r="F308" s="14"/>
      <c r="G308" s="14"/>
      <c r="H308" s="14"/>
      <c r="I308" s="14"/>
      <c r="J308" s="14"/>
      <c r="K308" s="14"/>
      <c r="L308" s="14"/>
      <c r="M308" s="14"/>
      <c r="N308" s="14"/>
      <c r="O308" s="14"/>
      <c r="P308" s="14"/>
      <c r="Q308" s="14"/>
      <c r="R308" s="7"/>
    </row>
    <row r="309" spans="1:18" x14ac:dyDescent="0.2">
      <c r="A309" s="7"/>
      <c r="B309" s="7"/>
      <c r="C309" s="7"/>
      <c r="D309" s="16"/>
      <c r="E309" s="12"/>
      <c r="F309" s="14"/>
      <c r="G309" s="14"/>
      <c r="H309" s="14"/>
      <c r="I309" s="14"/>
      <c r="J309" s="14"/>
      <c r="K309" s="14"/>
      <c r="L309" s="14"/>
      <c r="M309" s="14"/>
      <c r="N309" s="14"/>
      <c r="O309" s="14"/>
      <c r="P309" s="14"/>
      <c r="Q309" s="14"/>
      <c r="R309" s="7"/>
    </row>
    <row r="310" spans="1:18" x14ac:dyDescent="0.2">
      <c r="A310" s="7"/>
      <c r="B310" s="7"/>
      <c r="C310" s="7"/>
      <c r="D310" s="16"/>
      <c r="E310" s="12"/>
      <c r="F310" s="14"/>
      <c r="G310" s="14"/>
      <c r="H310" s="14"/>
      <c r="I310" s="14"/>
      <c r="J310" s="14"/>
      <c r="K310" s="14"/>
      <c r="L310" s="14"/>
      <c r="M310" s="14"/>
      <c r="N310" s="14"/>
      <c r="O310" s="14"/>
      <c r="P310" s="14"/>
      <c r="Q310" s="14"/>
      <c r="R310" s="7"/>
    </row>
    <row r="311" spans="1:18" x14ac:dyDescent="0.2">
      <c r="A311" s="7"/>
      <c r="B311" s="7"/>
      <c r="C311" s="7"/>
      <c r="D311" s="16"/>
      <c r="E311" s="12"/>
      <c r="F311" s="14"/>
      <c r="G311" s="14"/>
      <c r="H311" s="14"/>
      <c r="I311" s="14"/>
      <c r="J311" s="14"/>
      <c r="K311" s="14"/>
      <c r="L311" s="14"/>
      <c r="M311" s="14"/>
      <c r="N311" s="14"/>
      <c r="O311" s="14"/>
      <c r="P311" s="14"/>
      <c r="Q311" s="14"/>
      <c r="R311" s="7"/>
    </row>
    <row r="312" spans="1:18" x14ac:dyDescent="0.2">
      <c r="A312" s="7"/>
      <c r="B312" s="7"/>
      <c r="C312" s="7"/>
      <c r="D312" s="16"/>
      <c r="E312" s="12"/>
      <c r="F312" s="14"/>
      <c r="G312" s="14"/>
      <c r="H312" s="14"/>
      <c r="I312" s="14"/>
      <c r="J312" s="14"/>
      <c r="K312" s="14"/>
      <c r="L312" s="14"/>
      <c r="M312" s="14"/>
      <c r="N312" s="14"/>
      <c r="O312" s="14"/>
      <c r="P312" s="14"/>
      <c r="Q312" s="14"/>
      <c r="R312" s="7"/>
    </row>
    <row r="313" spans="1:18" x14ac:dyDescent="0.2">
      <c r="A313" s="7"/>
      <c r="B313" s="7"/>
      <c r="C313" s="7"/>
      <c r="D313" s="16"/>
      <c r="E313" s="12"/>
      <c r="F313" s="14"/>
      <c r="G313" s="14"/>
      <c r="H313" s="14"/>
      <c r="I313" s="14"/>
      <c r="J313" s="14"/>
      <c r="K313" s="14"/>
      <c r="L313" s="14"/>
      <c r="M313" s="14"/>
      <c r="N313" s="14"/>
      <c r="O313" s="14"/>
      <c r="P313" s="14"/>
      <c r="Q313" s="14"/>
      <c r="R313" s="7"/>
    </row>
    <row r="314" spans="1:18" x14ac:dyDescent="0.2">
      <c r="A314" s="7"/>
      <c r="B314" s="7"/>
      <c r="C314" s="7"/>
      <c r="D314" s="16"/>
      <c r="E314" s="12"/>
      <c r="F314" s="14"/>
      <c r="G314" s="14"/>
      <c r="H314" s="14"/>
      <c r="I314" s="14"/>
      <c r="J314" s="14"/>
      <c r="K314" s="14"/>
      <c r="L314" s="14"/>
      <c r="M314" s="14"/>
      <c r="N314" s="14"/>
      <c r="O314" s="14"/>
      <c r="P314" s="14"/>
      <c r="Q314" s="14"/>
      <c r="R314" s="7"/>
    </row>
    <row r="315" spans="1:18" x14ac:dyDescent="0.2">
      <c r="A315" s="7"/>
      <c r="B315" s="7"/>
      <c r="C315" s="7"/>
      <c r="D315" s="16"/>
      <c r="E315" s="12"/>
      <c r="F315" s="14"/>
      <c r="G315" s="14"/>
      <c r="H315" s="14"/>
      <c r="I315" s="14"/>
      <c r="J315" s="14"/>
      <c r="K315" s="14"/>
      <c r="L315" s="14"/>
      <c r="M315" s="14"/>
      <c r="N315" s="14"/>
      <c r="O315" s="14"/>
      <c r="P315" s="14"/>
      <c r="Q315" s="14"/>
      <c r="R315" s="7"/>
    </row>
    <row r="316" spans="1:18" x14ac:dyDescent="0.2">
      <c r="A316" s="7"/>
      <c r="B316" s="7"/>
      <c r="C316" s="7"/>
      <c r="D316" s="16"/>
      <c r="E316" s="12"/>
      <c r="F316" s="14"/>
      <c r="G316" s="14"/>
      <c r="H316" s="14"/>
      <c r="I316" s="14"/>
      <c r="J316" s="14"/>
      <c r="K316" s="14"/>
      <c r="L316" s="14"/>
      <c r="M316" s="14"/>
      <c r="N316" s="14"/>
      <c r="O316" s="14"/>
      <c r="P316" s="14"/>
      <c r="Q316" s="14"/>
      <c r="R316" s="7"/>
    </row>
    <row r="317" spans="1:18" x14ac:dyDescent="0.2">
      <c r="A317" s="7"/>
      <c r="B317" s="7"/>
      <c r="C317" s="7"/>
      <c r="D317" s="16"/>
      <c r="E317" s="12"/>
      <c r="F317" s="14"/>
      <c r="G317" s="14"/>
      <c r="H317" s="14"/>
      <c r="I317" s="14"/>
      <c r="J317" s="14"/>
      <c r="K317" s="14"/>
      <c r="L317" s="14"/>
      <c r="M317" s="14"/>
      <c r="N317" s="14"/>
      <c r="O317" s="14"/>
      <c r="P317" s="14"/>
      <c r="Q317" s="14"/>
      <c r="R317" s="7"/>
    </row>
    <row r="318" spans="1:18" x14ac:dyDescent="0.2">
      <c r="A318" s="7"/>
      <c r="B318" s="7"/>
      <c r="C318" s="7"/>
      <c r="D318" s="16"/>
      <c r="E318" s="12"/>
      <c r="F318" s="14"/>
      <c r="G318" s="14"/>
      <c r="H318" s="14"/>
      <c r="I318" s="14"/>
      <c r="J318" s="14"/>
      <c r="K318" s="14"/>
      <c r="L318" s="14"/>
      <c r="M318" s="14"/>
      <c r="N318" s="14"/>
      <c r="O318" s="14"/>
      <c r="P318" s="14"/>
      <c r="Q318" s="14"/>
      <c r="R318" s="7"/>
    </row>
    <row r="319" spans="1:18" x14ac:dyDescent="0.2">
      <c r="A319" s="7"/>
      <c r="B319" s="7"/>
      <c r="C319" s="7"/>
      <c r="D319" s="16"/>
      <c r="E319" s="12"/>
      <c r="F319" s="14"/>
      <c r="G319" s="14"/>
      <c r="H319" s="14"/>
      <c r="I319" s="14"/>
      <c r="J319" s="14"/>
      <c r="K319" s="14"/>
      <c r="L319" s="14"/>
      <c r="M319" s="14"/>
      <c r="N319" s="14"/>
      <c r="O319" s="14"/>
      <c r="P319" s="14"/>
      <c r="Q319" s="14"/>
      <c r="R319" s="7"/>
    </row>
    <row r="320" spans="1:18" x14ac:dyDescent="0.2">
      <c r="A320" s="7"/>
      <c r="B320" s="7"/>
      <c r="C320" s="7"/>
      <c r="D320" s="16"/>
      <c r="E320" s="12"/>
      <c r="F320" s="14"/>
      <c r="G320" s="14"/>
      <c r="H320" s="14"/>
      <c r="I320" s="14"/>
      <c r="J320" s="14"/>
      <c r="K320" s="14"/>
      <c r="L320" s="14"/>
      <c r="M320" s="14"/>
      <c r="N320" s="14"/>
      <c r="O320" s="14"/>
      <c r="P320" s="14"/>
      <c r="Q320" s="14"/>
      <c r="R320" s="7"/>
    </row>
    <row r="321" spans="1:18" x14ac:dyDescent="0.2">
      <c r="A321" s="7"/>
      <c r="B321" s="7"/>
      <c r="C321" s="7"/>
      <c r="D321" s="16"/>
      <c r="E321" s="12"/>
      <c r="F321" s="14"/>
      <c r="G321" s="14"/>
      <c r="H321" s="14"/>
      <c r="I321" s="14"/>
      <c r="J321" s="14"/>
      <c r="K321" s="14"/>
      <c r="L321" s="14"/>
      <c r="M321" s="14"/>
      <c r="N321" s="14"/>
      <c r="O321" s="14"/>
      <c r="P321" s="14"/>
      <c r="Q321" s="14"/>
      <c r="R321" s="7"/>
    </row>
    <row r="322" spans="1:18" x14ac:dyDescent="0.2">
      <c r="A322" s="7"/>
      <c r="B322" s="7"/>
      <c r="C322" s="7"/>
      <c r="D322" s="16"/>
      <c r="E322" s="12"/>
      <c r="F322" s="14"/>
      <c r="G322" s="14"/>
      <c r="H322" s="14"/>
      <c r="I322" s="14"/>
      <c r="J322" s="14"/>
      <c r="K322" s="14"/>
      <c r="L322" s="14"/>
      <c r="M322" s="14"/>
      <c r="N322" s="14"/>
      <c r="O322" s="14"/>
      <c r="P322" s="14"/>
      <c r="Q322" s="14"/>
      <c r="R322" s="7"/>
    </row>
    <row r="323" spans="1:18" x14ac:dyDescent="0.2">
      <c r="A323" s="7"/>
      <c r="B323" s="7"/>
      <c r="C323" s="7"/>
      <c r="D323" s="16"/>
      <c r="E323" s="12"/>
      <c r="F323" s="14"/>
      <c r="G323" s="14"/>
      <c r="H323" s="14"/>
      <c r="I323" s="14"/>
      <c r="J323" s="14"/>
      <c r="K323" s="14"/>
      <c r="L323" s="14"/>
      <c r="M323" s="14"/>
      <c r="N323" s="14"/>
      <c r="O323" s="14"/>
      <c r="P323" s="14"/>
      <c r="Q323" s="14"/>
      <c r="R323" s="7"/>
    </row>
    <row r="324" spans="1:18" x14ac:dyDescent="0.2">
      <c r="A324" s="7"/>
      <c r="B324" s="7"/>
      <c r="C324" s="7"/>
      <c r="D324" s="16"/>
      <c r="E324" s="12"/>
      <c r="F324" s="14"/>
      <c r="G324" s="14"/>
      <c r="H324" s="14"/>
      <c r="I324" s="14"/>
      <c r="J324" s="14"/>
      <c r="K324" s="14"/>
      <c r="L324" s="14"/>
      <c r="M324" s="14"/>
      <c r="N324" s="14"/>
      <c r="O324" s="14"/>
      <c r="P324" s="14"/>
      <c r="Q324" s="14"/>
      <c r="R324" s="7"/>
    </row>
    <row r="325" spans="1:18" x14ac:dyDescent="0.2">
      <c r="A325" s="7"/>
      <c r="B325" s="7"/>
      <c r="C325" s="7"/>
      <c r="D325" s="16"/>
      <c r="E325" s="12"/>
      <c r="F325" s="14"/>
      <c r="G325" s="14"/>
      <c r="H325" s="14"/>
      <c r="I325" s="14"/>
      <c r="J325" s="14"/>
      <c r="K325" s="14"/>
      <c r="L325" s="14"/>
      <c r="M325" s="14"/>
      <c r="N325" s="14"/>
      <c r="O325" s="14"/>
      <c r="P325" s="14"/>
      <c r="Q325" s="14"/>
      <c r="R325" s="7"/>
    </row>
    <row r="326" spans="1:18" x14ac:dyDescent="0.2">
      <c r="A326" s="7"/>
      <c r="B326" s="7"/>
      <c r="C326" s="7"/>
      <c r="D326" s="16"/>
      <c r="E326" s="12"/>
      <c r="F326" s="14"/>
      <c r="G326" s="14"/>
      <c r="H326" s="14"/>
      <c r="I326" s="14"/>
      <c r="J326" s="14"/>
      <c r="K326" s="14"/>
      <c r="L326" s="14"/>
      <c r="M326" s="14"/>
      <c r="N326" s="14"/>
      <c r="O326" s="14"/>
      <c r="P326" s="14"/>
      <c r="Q326" s="14"/>
      <c r="R326" s="7"/>
    </row>
    <row r="327" spans="1:18" x14ac:dyDescent="0.2">
      <c r="A327" s="7"/>
      <c r="B327" s="7"/>
      <c r="C327" s="7"/>
      <c r="D327" s="16"/>
      <c r="E327" s="12"/>
      <c r="F327" s="14"/>
      <c r="G327" s="14"/>
      <c r="H327" s="14"/>
      <c r="I327" s="14"/>
      <c r="J327" s="14"/>
      <c r="K327" s="14"/>
      <c r="L327" s="14"/>
      <c r="M327" s="14"/>
      <c r="N327" s="14"/>
      <c r="O327" s="14"/>
      <c r="P327" s="14"/>
      <c r="Q327" s="14"/>
      <c r="R327" s="7"/>
    </row>
    <row r="328" spans="1:18" x14ac:dyDescent="0.2">
      <c r="A328" s="7"/>
      <c r="B328" s="7"/>
      <c r="C328" s="7"/>
      <c r="D328" s="16"/>
      <c r="E328" s="12"/>
      <c r="F328" s="14"/>
      <c r="G328" s="14"/>
      <c r="H328" s="14"/>
      <c r="I328" s="14"/>
      <c r="J328" s="14"/>
      <c r="K328" s="14"/>
      <c r="L328" s="14"/>
      <c r="M328" s="14"/>
      <c r="N328" s="14"/>
      <c r="O328" s="14"/>
      <c r="P328" s="14"/>
      <c r="Q328" s="14"/>
      <c r="R328" s="7"/>
    </row>
    <row r="329" spans="1:18" x14ac:dyDescent="0.2">
      <c r="A329" s="7"/>
      <c r="B329" s="7"/>
      <c r="C329" s="7"/>
      <c r="D329" s="16"/>
      <c r="E329" s="12"/>
      <c r="F329" s="14"/>
      <c r="G329" s="14"/>
      <c r="H329" s="14"/>
      <c r="I329" s="14"/>
      <c r="J329" s="14"/>
      <c r="K329" s="14"/>
      <c r="L329" s="14"/>
      <c r="M329" s="14"/>
      <c r="N329" s="14"/>
      <c r="O329" s="14"/>
      <c r="P329" s="14"/>
      <c r="Q329" s="14"/>
      <c r="R329" s="7"/>
    </row>
    <row r="330" spans="1:18" x14ac:dyDescent="0.2">
      <c r="A330" s="7"/>
      <c r="B330" s="7"/>
      <c r="C330" s="7"/>
      <c r="D330" s="16"/>
      <c r="E330" s="12"/>
      <c r="F330" s="14"/>
      <c r="G330" s="14"/>
      <c r="H330" s="14"/>
      <c r="I330" s="14"/>
      <c r="J330" s="14"/>
      <c r="K330" s="14"/>
      <c r="L330" s="14"/>
      <c r="M330" s="14"/>
      <c r="N330" s="14"/>
      <c r="O330" s="14"/>
      <c r="P330" s="14"/>
      <c r="Q330" s="14"/>
      <c r="R330" s="7"/>
    </row>
    <row r="331" spans="1:18" x14ac:dyDescent="0.2">
      <c r="A331" s="7"/>
      <c r="B331" s="7"/>
      <c r="C331" s="7"/>
      <c r="D331" s="16"/>
      <c r="E331" s="12"/>
      <c r="F331" s="14"/>
      <c r="G331" s="14"/>
      <c r="H331" s="14"/>
      <c r="I331" s="14"/>
      <c r="J331" s="14"/>
      <c r="K331" s="14"/>
      <c r="L331" s="14"/>
      <c r="M331" s="14"/>
      <c r="N331" s="14"/>
      <c r="O331" s="14"/>
      <c r="P331" s="14"/>
      <c r="Q331" s="14"/>
      <c r="R331" s="7"/>
    </row>
    <row r="332" spans="1:18" x14ac:dyDescent="0.2">
      <c r="A332" s="7"/>
      <c r="B332" s="7"/>
      <c r="C332" s="7"/>
      <c r="D332" s="16"/>
      <c r="E332" s="12"/>
      <c r="F332" s="14"/>
      <c r="G332" s="14"/>
      <c r="H332" s="14"/>
      <c r="I332" s="14"/>
      <c r="J332" s="14"/>
      <c r="K332" s="14"/>
      <c r="L332" s="14"/>
      <c r="M332" s="14"/>
      <c r="N332" s="14"/>
      <c r="O332" s="14"/>
      <c r="P332" s="14"/>
      <c r="Q332" s="14"/>
      <c r="R332" s="7"/>
    </row>
    <row r="333" spans="1:18" x14ac:dyDescent="0.2">
      <c r="A333" s="7"/>
      <c r="B333" s="7"/>
      <c r="C333" s="7"/>
      <c r="D333" s="16"/>
      <c r="E333" s="12"/>
      <c r="F333" s="14"/>
      <c r="G333" s="14"/>
      <c r="H333" s="14"/>
      <c r="I333" s="14"/>
      <c r="J333" s="14"/>
      <c r="K333" s="14"/>
      <c r="L333" s="14"/>
      <c r="M333" s="14"/>
      <c r="N333" s="14"/>
      <c r="O333" s="14"/>
      <c r="P333" s="14"/>
      <c r="Q333" s="14"/>
      <c r="R333" s="7"/>
    </row>
    <row r="334" spans="1:18" x14ac:dyDescent="0.2">
      <c r="A334" s="7"/>
      <c r="B334" s="7"/>
      <c r="C334" s="7"/>
      <c r="D334" s="16"/>
      <c r="E334" s="12"/>
      <c r="F334" s="14"/>
      <c r="G334" s="14"/>
      <c r="H334" s="14"/>
      <c r="I334" s="14"/>
      <c r="J334" s="14"/>
      <c r="K334" s="14"/>
      <c r="L334" s="14"/>
      <c r="M334" s="14"/>
      <c r="N334" s="14"/>
      <c r="O334" s="14"/>
      <c r="P334" s="14"/>
      <c r="Q334" s="14"/>
      <c r="R334" s="7"/>
    </row>
    <row r="335" spans="1:18" x14ac:dyDescent="0.2">
      <c r="A335" s="7"/>
      <c r="B335" s="7"/>
      <c r="C335" s="7"/>
      <c r="D335" s="16"/>
      <c r="E335" s="12"/>
      <c r="F335" s="14"/>
      <c r="G335" s="14"/>
      <c r="H335" s="14"/>
      <c r="I335" s="14"/>
      <c r="J335" s="14"/>
      <c r="K335" s="14"/>
      <c r="L335" s="14"/>
      <c r="M335" s="14"/>
      <c r="N335" s="14"/>
      <c r="O335" s="14"/>
      <c r="P335" s="14"/>
      <c r="Q335" s="14"/>
      <c r="R335" s="7"/>
    </row>
    <row r="336" spans="1:18" x14ac:dyDescent="0.2">
      <c r="A336" s="7"/>
      <c r="B336" s="7"/>
      <c r="C336" s="7"/>
      <c r="D336" s="16"/>
      <c r="E336" s="12"/>
      <c r="F336" s="14"/>
      <c r="G336" s="14"/>
      <c r="H336" s="14"/>
      <c r="I336" s="14"/>
      <c r="J336" s="14"/>
      <c r="K336" s="14"/>
      <c r="L336" s="14"/>
      <c r="M336" s="14"/>
      <c r="N336" s="14"/>
      <c r="O336" s="14"/>
      <c r="P336" s="14"/>
      <c r="Q336" s="14"/>
      <c r="R336" s="7"/>
    </row>
    <row r="337" spans="1:18" x14ac:dyDescent="0.2">
      <c r="A337" s="7"/>
      <c r="B337" s="7"/>
      <c r="C337" s="7"/>
      <c r="D337" s="16"/>
      <c r="E337" s="12"/>
      <c r="F337" s="14"/>
      <c r="G337" s="14"/>
      <c r="H337" s="14"/>
      <c r="I337" s="14"/>
      <c r="J337" s="14"/>
      <c r="K337" s="14"/>
      <c r="L337" s="14"/>
      <c r="M337" s="14"/>
      <c r="N337" s="14"/>
      <c r="O337" s="14"/>
      <c r="P337" s="14"/>
      <c r="Q337" s="14"/>
      <c r="R337" s="7"/>
    </row>
    <row r="338" spans="1:18" x14ac:dyDescent="0.2">
      <c r="A338" s="7"/>
      <c r="B338" s="7"/>
      <c r="C338" s="7"/>
      <c r="D338" s="16"/>
      <c r="E338" s="12"/>
      <c r="F338" s="14"/>
      <c r="G338" s="14"/>
      <c r="H338" s="14"/>
      <c r="I338" s="14"/>
      <c r="J338" s="14"/>
      <c r="K338" s="14"/>
      <c r="L338" s="14"/>
      <c r="M338" s="14"/>
      <c r="N338" s="14"/>
      <c r="O338" s="14"/>
      <c r="P338" s="14"/>
      <c r="Q338" s="14"/>
      <c r="R338" s="7"/>
    </row>
    <row r="339" spans="1:18" x14ac:dyDescent="0.2">
      <c r="A339" s="7"/>
      <c r="B339" s="7"/>
      <c r="C339" s="7"/>
      <c r="D339" s="16"/>
      <c r="E339" s="12"/>
      <c r="F339" s="14"/>
      <c r="G339" s="14"/>
      <c r="H339" s="14"/>
      <c r="I339" s="14"/>
      <c r="J339" s="14"/>
      <c r="K339" s="14"/>
      <c r="L339" s="14"/>
      <c r="M339" s="14"/>
      <c r="N339" s="14"/>
      <c r="O339" s="14"/>
      <c r="P339" s="14"/>
      <c r="Q339" s="14"/>
      <c r="R339" s="7"/>
    </row>
    <row r="340" spans="1:18" x14ac:dyDescent="0.2">
      <c r="A340" s="7"/>
      <c r="B340" s="7"/>
      <c r="C340" s="7"/>
      <c r="D340" s="16"/>
      <c r="E340" s="12"/>
      <c r="F340" s="14"/>
      <c r="G340" s="14"/>
      <c r="H340" s="14"/>
      <c r="I340" s="14"/>
      <c r="J340" s="14"/>
      <c r="K340" s="14"/>
      <c r="L340" s="14"/>
      <c r="M340" s="14"/>
      <c r="N340" s="14"/>
      <c r="O340" s="14"/>
      <c r="P340" s="14"/>
      <c r="Q340" s="14"/>
      <c r="R340" s="7"/>
    </row>
    <row r="341" spans="1:18" x14ac:dyDescent="0.2">
      <c r="A341" s="7"/>
      <c r="B341" s="7"/>
      <c r="C341" s="7"/>
      <c r="D341" s="16"/>
      <c r="E341" s="12"/>
      <c r="F341" s="14"/>
      <c r="G341" s="14"/>
      <c r="H341" s="14"/>
      <c r="I341" s="14"/>
      <c r="J341" s="14"/>
      <c r="K341" s="14"/>
      <c r="L341" s="14"/>
      <c r="M341" s="14"/>
      <c r="N341" s="14"/>
      <c r="O341" s="14"/>
      <c r="P341" s="14"/>
      <c r="Q341" s="14"/>
      <c r="R341" s="7"/>
    </row>
    <row r="342" spans="1:18" x14ac:dyDescent="0.2">
      <c r="A342" s="7"/>
      <c r="B342" s="7"/>
      <c r="C342" s="7"/>
      <c r="D342" s="16"/>
      <c r="E342" s="12"/>
      <c r="F342" s="14"/>
      <c r="G342" s="14"/>
      <c r="H342" s="14"/>
      <c r="I342" s="14"/>
      <c r="J342" s="14"/>
      <c r="K342" s="14"/>
      <c r="L342" s="14"/>
      <c r="M342" s="14"/>
      <c r="N342" s="14"/>
      <c r="O342" s="14"/>
      <c r="P342" s="14"/>
      <c r="Q342" s="14"/>
      <c r="R342" s="7"/>
    </row>
    <row r="343" spans="1:18" x14ac:dyDescent="0.2">
      <c r="A343" s="7"/>
      <c r="B343" s="7"/>
      <c r="C343" s="7"/>
      <c r="D343" s="16"/>
      <c r="E343" s="12"/>
      <c r="F343" s="14"/>
      <c r="G343" s="14"/>
      <c r="H343" s="14"/>
      <c r="I343" s="14"/>
      <c r="J343" s="14"/>
      <c r="K343" s="14"/>
      <c r="L343" s="14"/>
      <c r="M343" s="14"/>
      <c r="N343" s="14"/>
      <c r="O343" s="14"/>
      <c r="P343" s="14"/>
      <c r="Q343" s="14"/>
      <c r="R343" s="7"/>
    </row>
    <row r="344" spans="1:18" x14ac:dyDescent="0.2">
      <c r="A344" s="7"/>
      <c r="B344" s="7"/>
      <c r="C344" s="7"/>
      <c r="D344" s="16"/>
      <c r="E344" s="12"/>
      <c r="F344" s="14"/>
      <c r="G344" s="14"/>
      <c r="H344" s="14"/>
      <c r="I344" s="14"/>
      <c r="J344" s="14"/>
      <c r="K344" s="14"/>
      <c r="L344" s="14"/>
      <c r="M344" s="14"/>
      <c r="N344" s="14"/>
      <c r="O344" s="14"/>
      <c r="P344" s="14"/>
      <c r="Q344" s="14"/>
      <c r="R344" s="7"/>
    </row>
    <row r="345" spans="1:18" x14ac:dyDescent="0.2">
      <c r="A345" s="7"/>
      <c r="B345" s="7"/>
      <c r="C345" s="7"/>
      <c r="D345" s="16"/>
      <c r="E345" s="12"/>
      <c r="F345" s="14"/>
      <c r="G345" s="14"/>
      <c r="H345" s="14"/>
      <c r="I345" s="14"/>
      <c r="J345" s="14"/>
      <c r="K345" s="14"/>
      <c r="L345" s="14"/>
      <c r="M345" s="14"/>
      <c r="N345" s="14"/>
      <c r="O345" s="14"/>
      <c r="P345" s="14"/>
      <c r="Q345" s="14"/>
      <c r="R345" s="7"/>
    </row>
    <row r="346" spans="1:18" x14ac:dyDescent="0.2">
      <c r="A346" s="7"/>
      <c r="B346" s="7"/>
      <c r="C346" s="7"/>
      <c r="D346" s="16"/>
      <c r="E346" s="12"/>
      <c r="F346" s="14"/>
      <c r="G346" s="14"/>
      <c r="H346" s="14"/>
      <c r="I346" s="14"/>
      <c r="J346" s="14"/>
      <c r="K346" s="14"/>
      <c r="L346" s="14"/>
      <c r="M346" s="14"/>
      <c r="N346" s="14"/>
      <c r="O346" s="14"/>
      <c r="P346" s="14"/>
      <c r="Q346" s="14"/>
      <c r="R346" s="7"/>
    </row>
    <row r="347" spans="1:18" x14ac:dyDescent="0.2">
      <c r="A347" s="7"/>
      <c r="B347" s="7"/>
      <c r="C347" s="7"/>
      <c r="D347" s="16"/>
      <c r="E347" s="12"/>
      <c r="F347" s="14"/>
      <c r="G347" s="14"/>
      <c r="H347" s="14"/>
      <c r="I347" s="14"/>
      <c r="J347" s="14"/>
      <c r="K347" s="14"/>
      <c r="L347" s="14"/>
      <c r="M347" s="14"/>
      <c r="N347" s="14"/>
      <c r="O347" s="14"/>
      <c r="P347" s="14"/>
      <c r="Q347" s="14"/>
      <c r="R347" s="7"/>
    </row>
    <row r="348" spans="1:18" x14ac:dyDescent="0.2">
      <c r="A348" s="7"/>
      <c r="B348" s="7"/>
      <c r="C348" s="7"/>
      <c r="D348" s="16"/>
      <c r="E348" s="12"/>
      <c r="F348" s="14"/>
      <c r="G348" s="14"/>
      <c r="H348" s="14"/>
      <c r="I348" s="14"/>
      <c r="J348" s="14"/>
      <c r="K348" s="14"/>
      <c r="L348" s="14"/>
      <c r="M348" s="14"/>
      <c r="N348" s="14"/>
      <c r="O348" s="14"/>
      <c r="P348" s="14"/>
      <c r="Q348" s="14"/>
      <c r="R348" s="7"/>
    </row>
    <row r="349" spans="1:18" x14ac:dyDescent="0.2">
      <c r="A349" s="7"/>
      <c r="B349" s="7"/>
      <c r="C349" s="7"/>
      <c r="D349" s="16"/>
      <c r="E349" s="12"/>
      <c r="F349" s="14"/>
      <c r="G349" s="14"/>
      <c r="H349" s="14"/>
      <c r="I349" s="14"/>
      <c r="J349" s="14"/>
      <c r="K349" s="14"/>
      <c r="L349" s="14"/>
      <c r="M349" s="14"/>
      <c r="N349" s="14"/>
      <c r="O349" s="14"/>
      <c r="P349" s="14"/>
      <c r="Q349" s="14"/>
      <c r="R349" s="7"/>
    </row>
    <row r="350" spans="1:18" x14ac:dyDescent="0.2">
      <c r="A350" s="7"/>
      <c r="B350" s="7"/>
      <c r="C350" s="7"/>
      <c r="D350" s="16"/>
      <c r="E350" s="12"/>
      <c r="F350" s="14"/>
      <c r="G350" s="14"/>
      <c r="H350" s="14"/>
      <c r="I350" s="14"/>
      <c r="J350" s="14"/>
      <c r="K350" s="14"/>
      <c r="L350" s="14"/>
      <c r="M350" s="14"/>
      <c r="N350" s="14"/>
      <c r="O350" s="14"/>
      <c r="P350" s="14"/>
      <c r="Q350" s="14"/>
      <c r="R350" s="7"/>
    </row>
    <row r="351" spans="1:18" x14ac:dyDescent="0.2">
      <c r="A351" s="7"/>
      <c r="B351" s="7"/>
      <c r="C351" s="7"/>
      <c r="D351" s="16"/>
      <c r="E351" s="12"/>
      <c r="F351" s="14"/>
      <c r="G351" s="14"/>
      <c r="H351" s="14"/>
      <c r="I351" s="14"/>
      <c r="J351" s="14"/>
      <c r="K351" s="14"/>
      <c r="L351" s="14"/>
      <c r="M351" s="14"/>
      <c r="N351" s="14"/>
      <c r="O351" s="14"/>
      <c r="P351" s="14"/>
      <c r="Q351" s="14"/>
      <c r="R351" s="7"/>
    </row>
    <row r="352" spans="1:18" x14ac:dyDescent="0.2">
      <c r="A352" s="7"/>
      <c r="B352" s="7"/>
      <c r="C352" s="7"/>
      <c r="D352" s="16"/>
      <c r="E352" s="12"/>
      <c r="F352" s="14"/>
      <c r="G352" s="14"/>
      <c r="H352" s="14"/>
      <c r="I352" s="14"/>
      <c r="J352" s="14"/>
      <c r="K352" s="14"/>
      <c r="L352" s="14"/>
      <c r="M352" s="14"/>
      <c r="N352" s="14"/>
      <c r="O352" s="14"/>
      <c r="P352" s="14"/>
      <c r="Q352" s="14"/>
      <c r="R352" s="7"/>
    </row>
    <row r="353" spans="1:18" x14ac:dyDescent="0.2">
      <c r="A353" s="7"/>
      <c r="B353" s="7"/>
      <c r="C353" s="7"/>
      <c r="D353" s="16"/>
      <c r="E353" s="12"/>
      <c r="F353" s="14"/>
      <c r="G353" s="14"/>
      <c r="H353" s="14"/>
      <c r="I353" s="14"/>
      <c r="J353" s="14"/>
      <c r="K353" s="14"/>
      <c r="L353" s="14"/>
      <c r="M353" s="14"/>
      <c r="N353" s="14"/>
      <c r="O353" s="14"/>
      <c r="P353" s="14"/>
      <c r="Q353" s="14"/>
      <c r="R353" s="7"/>
    </row>
    <row r="354" spans="1:18" x14ac:dyDescent="0.2">
      <c r="A354" s="7"/>
      <c r="B354" s="7"/>
      <c r="C354" s="7"/>
      <c r="D354" s="16"/>
      <c r="E354" s="12"/>
      <c r="F354" s="14"/>
      <c r="G354" s="14"/>
      <c r="H354" s="14"/>
      <c r="I354" s="14"/>
      <c r="J354" s="14"/>
      <c r="K354" s="14"/>
      <c r="L354" s="14"/>
      <c r="M354" s="14"/>
      <c r="N354" s="14"/>
      <c r="O354" s="14"/>
      <c r="P354" s="14"/>
      <c r="Q354" s="14"/>
      <c r="R354" s="7"/>
    </row>
    <row r="355" spans="1:18" x14ac:dyDescent="0.2">
      <c r="A355" s="7"/>
      <c r="B355" s="7"/>
      <c r="C355" s="7"/>
      <c r="D355" s="16"/>
      <c r="E355" s="12"/>
      <c r="F355" s="14"/>
      <c r="G355" s="14"/>
      <c r="H355" s="14"/>
      <c r="I355" s="14"/>
      <c r="J355" s="14"/>
      <c r="K355" s="14"/>
      <c r="L355" s="14"/>
      <c r="M355" s="14"/>
      <c r="N355" s="14"/>
      <c r="O355" s="14"/>
      <c r="P355" s="14"/>
      <c r="Q355" s="14"/>
      <c r="R355" s="7"/>
    </row>
    <row r="356" spans="1:18" x14ac:dyDescent="0.2">
      <c r="A356" s="7"/>
      <c r="B356" s="7"/>
      <c r="C356" s="7"/>
      <c r="D356" s="16"/>
      <c r="E356" s="12"/>
      <c r="F356" s="14"/>
      <c r="G356" s="14"/>
      <c r="H356" s="14"/>
      <c r="I356" s="14"/>
      <c r="J356" s="14"/>
      <c r="K356" s="14"/>
      <c r="L356" s="14"/>
      <c r="M356" s="14"/>
      <c r="N356" s="14"/>
      <c r="O356" s="14"/>
      <c r="P356" s="14"/>
      <c r="Q356" s="14"/>
      <c r="R356" s="7"/>
    </row>
    <row r="357" spans="1:18" x14ac:dyDescent="0.2">
      <c r="A357" s="7"/>
      <c r="B357" s="7"/>
      <c r="C357" s="7"/>
      <c r="D357" s="16"/>
      <c r="E357" s="12"/>
      <c r="F357" s="14"/>
      <c r="G357" s="14"/>
      <c r="H357" s="14"/>
      <c r="I357" s="14"/>
      <c r="J357" s="14"/>
      <c r="K357" s="14"/>
      <c r="L357" s="14"/>
      <c r="M357" s="14"/>
      <c r="N357" s="14"/>
      <c r="O357" s="14"/>
      <c r="P357" s="14"/>
      <c r="Q357" s="14"/>
      <c r="R357" s="7"/>
    </row>
    <row r="358" spans="1:18" x14ac:dyDescent="0.2">
      <c r="A358" s="7"/>
      <c r="B358" s="7"/>
      <c r="C358" s="7"/>
      <c r="D358" s="16"/>
      <c r="E358" s="12"/>
      <c r="F358" s="14"/>
      <c r="G358" s="14"/>
      <c r="H358" s="14"/>
      <c r="I358" s="14"/>
      <c r="J358" s="14"/>
      <c r="K358" s="14"/>
      <c r="L358" s="14"/>
      <c r="M358" s="14"/>
      <c r="N358" s="14"/>
      <c r="O358" s="14"/>
      <c r="P358" s="14"/>
      <c r="Q358" s="14"/>
      <c r="R358" s="7"/>
    </row>
    <row r="359" spans="1:18" x14ac:dyDescent="0.2">
      <c r="A359" s="7"/>
      <c r="B359" s="7"/>
      <c r="C359" s="7"/>
      <c r="D359" s="16"/>
      <c r="E359" s="12"/>
      <c r="F359" s="14"/>
      <c r="G359" s="14"/>
      <c r="H359" s="14"/>
      <c r="I359" s="14"/>
      <c r="J359" s="14"/>
      <c r="K359" s="14"/>
      <c r="L359" s="14"/>
      <c r="M359" s="14"/>
      <c r="N359" s="14"/>
      <c r="O359" s="14"/>
      <c r="P359" s="14"/>
      <c r="Q359" s="14"/>
      <c r="R359" s="7"/>
    </row>
    <row r="360" spans="1:18" x14ac:dyDescent="0.2">
      <c r="A360" s="7"/>
      <c r="B360" s="7"/>
      <c r="C360" s="7"/>
      <c r="D360" s="16"/>
      <c r="E360" s="12"/>
      <c r="F360" s="14"/>
      <c r="G360" s="14"/>
      <c r="H360" s="14"/>
      <c r="I360" s="14"/>
      <c r="J360" s="14"/>
      <c r="K360" s="14"/>
      <c r="L360" s="14"/>
      <c r="M360" s="14"/>
      <c r="N360" s="14"/>
      <c r="O360" s="14"/>
      <c r="P360" s="14"/>
      <c r="Q360" s="14"/>
      <c r="R360" s="7"/>
    </row>
    <row r="361" spans="1:18" x14ac:dyDescent="0.2">
      <c r="A361" s="7"/>
      <c r="B361" s="7"/>
      <c r="C361" s="7"/>
      <c r="D361" s="16"/>
      <c r="E361" s="12"/>
      <c r="F361" s="14"/>
      <c r="G361" s="14"/>
      <c r="H361" s="14"/>
      <c r="I361" s="14"/>
      <c r="J361" s="14"/>
      <c r="K361" s="14"/>
      <c r="L361" s="14"/>
      <c r="M361" s="14"/>
      <c r="N361" s="14"/>
      <c r="O361" s="14"/>
      <c r="P361" s="14"/>
      <c r="Q361" s="14"/>
      <c r="R361" s="7"/>
    </row>
    <row r="362" spans="1:18" x14ac:dyDescent="0.2">
      <c r="A362" s="7"/>
      <c r="B362" s="7"/>
      <c r="C362" s="7"/>
      <c r="D362" s="16"/>
      <c r="E362" s="12"/>
      <c r="F362" s="14"/>
      <c r="G362" s="14"/>
      <c r="H362" s="14"/>
      <c r="I362" s="14"/>
      <c r="J362" s="14"/>
      <c r="K362" s="14"/>
      <c r="L362" s="14"/>
      <c r="M362" s="14"/>
      <c r="N362" s="14"/>
      <c r="O362" s="14"/>
      <c r="P362" s="14"/>
      <c r="Q362" s="14"/>
      <c r="R362" s="7"/>
    </row>
    <row r="363" spans="1:18" x14ac:dyDescent="0.2">
      <c r="A363" s="7"/>
      <c r="B363" s="7"/>
      <c r="C363" s="7"/>
      <c r="D363" s="16"/>
      <c r="E363" s="12"/>
      <c r="F363" s="14"/>
      <c r="G363" s="14"/>
      <c r="H363" s="14"/>
      <c r="I363" s="14"/>
      <c r="J363" s="14"/>
      <c r="K363" s="14"/>
      <c r="L363" s="14"/>
      <c r="M363" s="14"/>
      <c r="N363" s="14"/>
      <c r="O363" s="14"/>
      <c r="P363" s="14"/>
      <c r="Q363" s="14"/>
      <c r="R363" s="7"/>
    </row>
    <row r="364" spans="1:18" x14ac:dyDescent="0.2">
      <c r="A364" s="7"/>
      <c r="B364" s="7"/>
      <c r="C364" s="7"/>
      <c r="D364" s="16"/>
      <c r="E364" s="12"/>
      <c r="F364" s="14"/>
      <c r="G364" s="14"/>
      <c r="H364" s="14"/>
      <c r="I364" s="14"/>
      <c r="J364" s="14"/>
      <c r="K364" s="14"/>
      <c r="L364" s="14"/>
      <c r="M364" s="14"/>
      <c r="N364" s="14"/>
      <c r="O364" s="14"/>
      <c r="P364" s="14"/>
      <c r="Q364" s="14"/>
      <c r="R364" s="7"/>
    </row>
    <row r="365" spans="1:18" x14ac:dyDescent="0.2">
      <c r="A365" s="7"/>
      <c r="B365" s="7"/>
      <c r="C365" s="7"/>
      <c r="D365" s="16"/>
      <c r="E365" s="12"/>
      <c r="F365" s="14"/>
      <c r="G365" s="14"/>
      <c r="H365" s="14"/>
      <c r="I365" s="14"/>
      <c r="J365" s="14"/>
      <c r="K365" s="14"/>
      <c r="L365" s="14"/>
      <c r="M365" s="14"/>
      <c r="N365" s="14"/>
      <c r="O365" s="14"/>
      <c r="P365" s="14"/>
      <c r="Q365" s="14"/>
      <c r="R365" s="7"/>
    </row>
    <row r="366" spans="1:18" x14ac:dyDescent="0.2">
      <c r="A366" s="7"/>
      <c r="B366" s="7"/>
      <c r="C366" s="7"/>
      <c r="D366" s="16"/>
      <c r="E366" s="12"/>
      <c r="F366" s="14"/>
      <c r="G366" s="14"/>
      <c r="H366" s="14"/>
      <c r="I366" s="14"/>
      <c r="J366" s="14"/>
      <c r="K366" s="14"/>
      <c r="L366" s="14"/>
      <c r="M366" s="14"/>
      <c r="N366" s="14"/>
      <c r="O366" s="14"/>
      <c r="P366" s="14"/>
      <c r="Q366" s="14"/>
      <c r="R366" s="7"/>
    </row>
    <row r="367" spans="1:18" x14ac:dyDescent="0.2">
      <c r="A367" s="7"/>
      <c r="B367" s="7"/>
      <c r="C367" s="7"/>
      <c r="D367" s="16"/>
      <c r="E367" s="12"/>
      <c r="F367" s="14"/>
      <c r="G367" s="14"/>
      <c r="H367" s="14"/>
      <c r="I367" s="14"/>
      <c r="J367" s="14"/>
      <c r="K367" s="14"/>
      <c r="L367" s="14"/>
      <c r="M367" s="14"/>
      <c r="N367" s="14"/>
      <c r="O367" s="14"/>
      <c r="P367" s="14"/>
      <c r="Q367" s="14"/>
      <c r="R367" s="7"/>
    </row>
    <row r="368" spans="1:18" x14ac:dyDescent="0.2">
      <c r="A368" s="7"/>
      <c r="B368" s="7"/>
      <c r="C368" s="7"/>
      <c r="D368" s="16"/>
      <c r="E368" s="12"/>
      <c r="F368" s="14"/>
      <c r="G368" s="14"/>
      <c r="H368" s="14"/>
      <c r="I368" s="14"/>
      <c r="J368" s="14"/>
      <c r="K368" s="14"/>
      <c r="L368" s="14"/>
      <c r="M368" s="14"/>
      <c r="N368" s="14"/>
      <c r="O368" s="14"/>
      <c r="P368" s="14"/>
      <c r="Q368" s="14"/>
      <c r="R368" s="7"/>
    </row>
    <row r="369" spans="1:18" x14ac:dyDescent="0.2">
      <c r="A369" s="7"/>
      <c r="B369" s="7"/>
      <c r="C369" s="7"/>
      <c r="D369" s="16"/>
      <c r="E369" s="12"/>
      <c r="F369" s="14"/>
      <c r="G369" s="14"/>
      <c r="H369" s="14"/>
      <c r="I369" s="14"/>
      <c r="J369" s="14"/>
      <c r="K369" s="14"/>
      <c r="L369" s="14"/>
      <c r="M369" s="14"/>
      <c r="N369" s="14"/>
      <c r="O369" s="14"/>
      <c r="P369" s="14"/>
      <c r="Q369" s="14"/>
      <c r="R369" s="7"/>
    </row>
    <row r="370" spans="1:18" x14ac:dyDescent="0.2">
      <c r="A370" s="7"/>
      <c r="B370" s="7"/>
      <c r="C370" s="7"/>
      <c r="D370" s="16"/>
      <c r="E370" s="12"/>
      <c r="F370" s="14"/>
      <c r="G370" s="14"/>
      <c r="H370" s="14"/>
      <c r="I370" s="14"/>
      <c r="J370" s="14"/>
      <c r="K370" s="14"/>
      <c r="L370" s="14"/>
      <c r="M370" s="14"/>
      <c r="N370" s="14"/>
      <c r="O370" s="14"/>
      <c r="P370" s="14"/>
      <c r="Q370" s="14"/>
      <c r="R370" s="7"/>
    </row>
    <row r="371" spans="1:18" x14ac:dyDescent="0.2">
      <c r="A371" s="7"/>
      <c r="B371" s="7"/>
      <c r="C371" s="7"/>
      <c r="D371" s="16"/>
      <c r="E371" s="12"/>
      <c r="F371" s="14"/>
      <c r="G371" s="14"/>
      <c r="H371" s="14"/>
      <c r="I371" s="14"/>
      <c r="J371" s="14"/>
      <c r="K371" s="14"/>
      <c r="L371" s="14"/>
      <c r="M371" s="14"/>
      <c r="N371" s="14"/>
      <c r="O371" s="14"/>
      <c r="P371" s="14"/>
      <c r="Q371" s="14"/>
      <c r="R371" s="7"/>
    </row>
    <row r="372" spans="1:18" x14ac:dyDescent="0.2">
      <c r="A372" s="7"/>
      <c r="B372" s="7"/>
      <c r="C372" s="7"/>
      <c r="D372" s="16"/>
      <c r="E372" s="12"/>
      <c r="F372" s="14"/>
      <c r="G372" s="14"/>
      <c r="H372" s="14"/>
      <c r="I372" s="14"/>
      <c r="J372" s="14"/>
      <c r="K372" s="14"/>
      <c r="L372" s="14"/>
      <c r="M372" s="14"/>
      <c r="N372" s="14"/>
      <c r="O372" s="14"/>
      <c r="P372" s="14"/>
      <c r="Q372" s="14"/>
      <c r="R372" s="7"/>
    </row>
    <row r="373" spans="1:18" x14ac:dyDescent="0.2">
      <c r="A373" s="7"/>
      <c r="B373" s="7"/>
      <c r="C373" s="7"/>
      <c r="D373" s="16"/>
      <c r="E373" s="12"/>
      <c r="F373" s="14"/>
      <c r="G373" s="14"/>
      <c r="H373" s="14"/>
      <c r="I373" s="14"/>
      <c r="J373" s="14"/>
      <c r="K373" s="14"/>
      <c r="L373" s="14"/>
      <c r="M373" s="14"/>
      <c r="N373" s="14"/>
      <c r="O373" s="14"/>
      <c r="P373" s="14"/>
      <c r="Q373" s="14"/>
      <c r="R373" s="7"/>
    </row>
    <row r="374" spans="1:18" x14ac:dyDescent="0.2">
      <c r="A374" s="7"/>
      <c r="B374" s="7"/>
      <c r="C374" s="7"/>
      <c r="D374" s="16"/>
      <c r="E374" s="12"/>
      <c r="F374" s="14"/>
      <c r="G374" s="14"/>
      <c r="H374" s="14"/>
      <c r="I374" s="14"/>
      <c r="J374" s="14"/>
      <c r="K374" s="14"/>
      <c r="L374" s="14"/>
      <c r="M374" s="14"/>
      <c r="N374" s="14"/>
      <c r="O374" s="14"/>
      <c r="P374" s="14"/>
      <c r="Q374" s="14"/>
      <c r="R374" s="7"/>
    </row>
    <row r="375" spans="1:18" x14ac:dyDescent="0.2">
      <c r="A375" s="7"/>
      <c r="B375" s="7"/>
      <c r="C375" s="7"/>
      <c r="D375" s="16"/>
      <c r="E375" s="12"/>
      <c r="F375" s="14"/>
      <c r="G375" s="14"/>
      <c r="H375" s="14"/>
      <c r="I375" s="14"/>
      <c r="J375" s="14"/>
      <c r="K375" s="14"/>
      <c r="L375" s="14"/>
      <c r="M375" s="14"/>
      <c r="N375" s="14"/>
      <c r="O375" s="14"/>
      <c r="P375" s="14"/>
      <c r="Q375" s="14"/>
      <c r="R375" s="7"/>
    </row>
    <row r="376" spans="1:18" x14ac:dyDescent="0.2">
      <c r="A376" s="7"/>
      <c r="B376" s="7"/>
      <c r="C376" s="7"/>
      <c r="D376" s="16"/>
      <c r="E376" s="12"/>
      <c r="F376" s="14"/>
      <c r="G376" s="14"/>
      <c r="H376" s="14"/>
      <c r="I376" s="14"/>
      <c r="J376" s="14"/>
      <c r="K376" s="14"/>
      <c r="L376" s="14"/>
      <c r="M376" s="14"/>
      <c r="N376" s="14"/>
      <c r="O376" s="14"/>
      <c r="P376" s="14"/>
      <c r="Q376" s="14"/>
      <c r="R376" s="7"/>
    </row>
    <row r="377" spans="1:18" x14ac:dyDescent="0.2">
      <c r="A377" s="7"/>
      <c r="B377" s="7"/>
      <c r="C377" s="7"/>
      <c r="D377" s="16"/>
      <c r="E377" s="12"/>
      <c r="F377" s="14"/>
      <c r="G377" s="14"/>
      <c r="H377" s="14"/>
      <c r="I377" s="14"/>
      <c r="J377" s="14"/>
      <c r="K377" s="14"/>
      <c r="L377" s="14"/>
      <c r="M377" s="14"/>
      <c r="N377" s="14"/>
      <c r="O377" s="14"/>
      <c r="P377" s="14"/>
      <c r="Q377" s="14"/>
      <c r="R377" s="7"/>
    </row>
    <row r="378" spans="1:18" x14ac:dyDescent="0.2">
      <c r="A378" s="7"/>
      <c r="B378" s="7"/>
      <c r="C378" s="7"/>
      <c r="D378" s="16"/>
      <c r="E378" s="12"/>
      <c r="F378" s="14"/>
      <c r="G378" s="14"/>
      <c r="H378" s="14"/>
      <c r="I378" s="14"/>
      <c r="J378" s="14"/>
      <c r="K378" s="14"/>
      <c r="L378" s="14"/>
      <c r="M378" s="14"/>
      <c r="N378" s="14"/>
      <c r="O378" s="14"/>
      <c r="P378" s="14"/>
      <c r="Q378" s="14"/>
      <c r="R378" s="7"/>
    </row>
    <row r="379" spans="1:18" x14ac:dyDescent="0.2">
      <c r="A379" s="7"/>
      <c r="B379" s="7"/>
      <c r="C379" s="7"/>
      <c r="D379" s="16"/>
      <c r="E379" s="12"/>
      <c r="F379" s="14"/>
      <c r="G379" s="14"/>
      <c r="H379" s="14"/>
      <c r="I379" s="14"/>
      <c r="J379" s="14"/>
      <c r="K379" s="14"/>
      <c r="L379" s="14"/>
      <c r="M379" s="14"/>
      <c r="N379" s="14"/>
      <c r="O379" s="14"/>
      <c r="P379" s="14"/>
      <c r="Q379" s="14"/>
      <c r="R379" s="7"/>
    </row>
    <row r="380" spans="1:18" x14ac:dyDescent="0.2">
      <c r="A380" s="7"/>
      <c r="B380" s="7"/>
      <c r="C380" s="7"/>
      <c r="D380" s="16"/>
      <c r="E380" s="12"/>
      <c r="F380" s="14"/>
      <c r="G380" s="14"/>
      <c r="H380" s="14"/>
      <c r="I380" s="14"/>
      <c r="J380" s="14"/>
      <c r="K380" s="14"/>
      <c r="L380" s="14"/>
      <c r="M380" s="14"/>
      <c r="N380" s="14"/>
      <c r="O380" s="14"/>
      <c r="P380" s="14"/>
      <c r="Q380" s="14"/>
      <c r="R380" s="7"/>
    </row>
    <row r="381" spans="1:18" x14ac:dyDescent="0.2">
      <c r="A381" s="7"/>
      <c r="B381" s="7"/>
      <c r="C381" s="7"/>
      <c r="D381" s="16"/>
      <c r="E381" s="12"/>
      <c r="F381" s="14"/>
      <c r="G381" s="14"/>
      <c r="H381" s="14"/>
      <c r="I381" s="14"/>
      <c r="J381" s="14"/>
      <c r="K381" s="14"/>
      <c r="L381" s="14"/>
      <c r="M381" s="14"/>
      <c r="N381" s="14"/>
      <c r="O381" s="14"/>
      <c r="P381" s="14"/>
      <c r="Q381" s="14"/>
      <c r="R381" s="7"/>
    </row>
    <row r="382" spans="1:18" x14ac:dyDescent="0.2">
      <c r="A382" s="7"/>
      <c r="B382" s="7"/>
      <c r="C382" s="7"/>
      <c r="D382" s="16"/>
      <c r="E382" s="12"/>
      <c r="F382" s="14"/>
      <c r="G382" s="14"/>
      <c r="H382" s="14"/>
      <c r="I382" s="14"/>
      <c r="J382" s="14"/>
      <c r="K382" s="14"/>
      <c r="L382" s="14"/>
      <c r="M382" s="14"/>
      <c r="N382" s="14"/>
      <c r="O382" s="14"/>
      <c r="P382" s="14"/>
      <c r="Q382" s="14"/>
      <c r="R382" s="7"/>
    </row>
    <row r="383" spans="1:18" x14ac:dyDescent="0.2">
      <c r="A383" s="7"/>
      <c r="B383" s="7"/>
      <c r="C383" s="7"/>
      <c r="D383" s="16"/>
      <c r="E383" s="12"/>
      <c r="F383" s="14"/>
      <c r="G383" s="14"/>
      <c r="H383" s="14"/>
      <c r="I383" s="14"/>
      <c r="J383" s="14"/>
      <c r="K383" s="14"/>
      <c r="L383" s="14"/>
      <c r="M383" s="14"/>
      <c r="N383" s="14"/>
      <c r="O383" s="14"/>
      <c r="P383" s="14"/>
      <c r="Q383" s="14"/>
      <c r="R383" s="7"/>
    </row>
    <row r="384" spans="1:18" x14ac:dyDescent="0.2">
      <c r="A384" s="7"/>
      <c r="B384" s="7"/>
      <c r="C384" s="7"/>
      <c r="D384" s="16"/>
      <c r="E384" s="12"/>
      <c r="F384" s="14"/>
      <c r="G384" s="14"/>
      <c r="H384" s="14"/>
      <c r="I384" s="14"/>
      <c r="J384" s="14"/>
      <c r="K384" s="14"/>
      <c r="L384" s="14"/>
      <c r="M384" s="14"/>
      <c r="N384" s="14"/>
      <c r="O384" s="14"/>
      <c r="P384" s="14"/>
      <c r="Q384" s="14"/>
      <c r="R384" s="7"/>
    </row>
    <row r="385" spans="1:18" x14ac:dyDescent="0.2">
      <c r="A385" s="7"/>
      <c r="B385" s="7"/>
      <c r="C385" s="7"/>
      <c r="D385" s="16"/>
      <c r="E385" s="12"/>
      <c r="F385" s="14"/>
      <c r="G385" s="14"/>
      <c r="H385" s="14"/>
      <c r="I385" s="14"/>
      <c r="J385" s="14"/>
      <c r="K385" s="14"/>
      <c r="L385" s="14"/>
      <c r="M385" s="14"/>
      <c r="N385" s="14"/>
      <c r="O385" s="14"/>
      <c r="P385" s="14"/>
      <c r="Q385" s="14"/>
      <c r="R385" s="7"/>
    </row>
    <row r="386" spans="1:18" x14ac:dyDescent="0.2">
      <c r="A386" s="7"/>
      <c r="B386" s="7"/>
      <c r="C386" s="7"/>
      <c r="D386" s="16"/>
      <c r="E386" s="12"/>
      <c r="F386" s="14"/>
      <c r="G386" s="14"/>
      <c r="H386" s="14"/>
      <c r="I386" s="14"/>
      <c r="J386" s="14"/>
      <c r="K386" s="14"/>
      <c r="L386" s="14"/>
      <c r="M386" s="14"/>
      <c r="N386" s="14"/>
      <c r="O386" s="14"/>
      <c r="P386" s="14"/>
      <c r="Q386" s="14"/>
      <c r="R386" s="7"/>
    </row>
    <row r="387" spans="1:18" x14ac:dyDescent="0.2">
      <c r="A387" s="7"/>
      <c r="B387" s="7"/>
      <c r="C387" s="7"/>
      <c r="D387" s="16"/>
      <c r="E387" s="12"/>
      <c r="F387" s="14"/>
      <c r="G387" s="14"/>
      <c r="H387" s="14"/>
      <c r="I387" s="14"/>
      <c r="J387" s="14"/>
      <c r="K387" s="14"/>
      <c r="L387" s="14"/>
      <c r="M387" s="14"/>
      <c r="N387" s="14"/>
      <c r="O387" s="14"/>
      <c r="P387" s="14"/>
      <c r="Q387" s="14"/>
      <c r="R387" s="7"/>
    </row>
    <row r="388" spans="1:18" x14ac:dyDescent="0.2">
      <c r="A388" s="7"/>
      <c r="B388" s="7"/>
      <c r="C388" s="7"/>
      <c r="D388" s="16"/>
      <c r="E388" s="12"/>
      <c r="F388" s="14"/>
      <c r="G388" s="14"/>
      <c r="H388" s="14"/>
      <c r="I388" s="14"/>
      <c r="J388" s="14"/>
      <c r="K388" s="14"/>
      <c r="L388" s="14"/>
      <c r="M388" s="14"/>
      <c r="N388" s="14"/>
      <c r="O388" s="14"/>
      <c r="P388" s="14"/>
      <c r="Q388" s="14"/>
      <c r="R388" s="7"/>
    </row>
    <row r="389" spans="1:18" x14ac:dyDescent="0.2">
      <c r="A389" s="7"/>
      <c r="B389" s="7"/>
      <c r="C389" s="7"/>
      <c r="D389" s="16"/>
      <c r="E389" s="12"/>
      <c r="F389" s="14"/>
      <c r="G389" s="14"/>
      <c r="H389" s="14"/>
      <c r="I389" s="14"/>
      <c r="J389" s="14"/>
      <c r="K389" s="14"/>
      <c r="L389" s="14"/>
      <c r="M389" s="14"/>
      <c r="N389" s="14"/>
      <c r="O389" s="14"/>
      <c r="P389" s="14"/>
      <c r="Q389" s="14"/>
      <c r="R389" s="7"/>
    </row>
    <row r="390" spans="1:18" x14ac:dyDescent="0.2">
      <c r="A390" s="7"/>
      <c r="B390" s="7"/>
      <c r="C390" s="7"/>
      <c r="D390" s="16"/>
      <c r="E390" s="12"/>
      <c r="F390" s="14"/>
      <c r="G390" s="14"/>
      <c r="H390" s="14"/>
      <c r="I390" s="14"/>
      <c r="J390" s="14"/>
      <c r="K390" s="14"/>
      <c r="L390" s="14"/>
      <c r="M390" s="14"/>
      <c r="N390" s="14"/>
      <c r="O390" s="14"/>
      <c r="P390" s="14"/>
      <c r="Q390" s="14"/>
      <c r="R390" s="7"/>
    </row>
    <row r="391" spans="1:18" x14ac:dyDescent="0.2">
      <c r="A391" s="7"/>
      <c r="B391" s="7"/>
      <c r="C391" s="7"/>
      <c r="D391" s="16"/>
      <c r="E391" s="12"/>
      <c r="F391" s="14"/>
      <c r="G391" s="14"/>
      <c r="H391" s="14"/>
      <c r="I391" s="14"/>
      <c r="J391" s="14"/>
      <c r="K391" s="14"/>
      <c r="L391" s="14"/>
      <c r="M391" s="14"/>
      <c r="N391" s="14"/>
      <c r="O391" s="14"/>
      <c r="P391" s="14"/>
      <c r="Q391" s="14"/>
      <c r="R391" s="7"/>
    </row>
    <row r="392" spans="1:18" x14ac:dyDescent="0.2">
      <c r="A392" s="7"/>
      <c r="B392" s="7"/>
      <c r="C392" s="7"/>
      <c r="D392" s="16"/>
      <c r="E392" s="12"/>
      <c r="F392" s="14"/>
      <c r="G392" s="14"/>
      <c r="H392" s="14"/>
      <c r="I392" s="14"/>
      <c r="J392" s="14"/>
      <c r="K392" s="14"/>
      <c r="L392" s="14"/>
      <c r="M392" s="14"/>
      <c r="N392" s="14"/>
      <c r="O392" s="14"/>
      <c r="P392" s="14"/>
      <c r="Q392" s="14"/>
      <c r="R392" s="7"/>
    </row>
    <row r="393" spans="1:18" x14ac:dyDescent="0.2">
      <c r="A393" s="7"/>
      <c r="B393" s="7"/>
      <c r="C393" s="7"/>
      <c r="D393" s="16"/>
      <c r="E393" s="12"/>
      <c r="F393" s="14"/>
      <c r="G393" s="14"/>
      <c r="H393" s="14"/>
      <c r="I393" s="14"/>
      <c r="J393" s="14"/>
      <c r="K393" s="14"/>
      <c r="L393" s="14"/>
      <c r="M393" s="14"/>
      <c r="N393" s="14"/>
      <c r="O393" s="14"/>
      <c r="P393" s="14"/>
      <c r="Q393" s="14"/>
      <c r="R393" s="7"/>
    </row>
    <row r="394" spans="1:18" x14ac:dyDescent="0.2">
      <c r="A394" s="7"/>
      <c r="B394" s="7"/>
      <c r="C394" s="7"/>
      <c r="D394" s="16"/>
      <c r="E394" s="12"/>
      <c r="F394" s="14"/>
      <c r="G394" s="14"/>
      <c r="H394" s="14"/>
      <c r="I394" s="14"/>
      <c r="J394" s="14"/>
      <c r="K394" s="14"/>
      <c r="L394" s="14"/>
      <c r="M394" s="14"/>
      <c r="N394" s="14"/>
      <c r="O394" s="14"/>
      <c r="P394" s="14"/>
      <c r="Q394" s="14"/>
      <c r="R394" s="7"/>
    </row>
    <row r="395" spans="1:18" x14ac:dyDescent="0.2">
      <c r="A395" s="7"/>
      <c r="B395" s="7"/>
      <c r="C395" s="7"/>
      <c r="D395" s="16"/>
      <c r="E395" s="12"/>
      <c r="F395" s="14"/>
      <c r="G395" s="14"/>
      <c r="H395" s="14"/>
      <c r="I395" s="14"/>
      <c r="J395" s="14"/>
      <c r="K395" s="14"/>
      <c r="L395" s="14"/>
      <c r="M395" s="14"/>
      <c r="N395" s="14"/>
      <c r="O395" s="14"/>
      <c r="P395" s="14"/>
      <c r="Q395" s="14"/>
      <c r="R395" s="7"/>
    </row>
    <row r="396" spans="1:18" x14ac:dyDescent="0.2">
      <c r="A396" s="7"/>
      <c r="B396" s="7"/>
      <c r="C396" s="7"/>
      <c r="D396" s="16"/>
      <c r="E396" s="12"/>
      <c r="F396" s="14"/>
      <c r="G396" s="14"/>
      <c r="H396" s="14"/>
      <c r="I396" s="14"/>
      <c r="J396" s="14"/>
      <c r="K396" s="14"/>
      <c r="L396" s="14"/>
      <c r="M396" s="14"/>
      <c r="N396" s="14"/>
      <c r="O396" s="14"/>
      <c r="P396" s="14"/>
      <c r="Q396" s="14"/>
      <c r="R396" s="7"/>
    </row>
    <row r="397" spans="1:18" x14ac:dyDescent="0.2">
      <c r="A397" s="7"/>
      <c r="B397" s="7"/>
      <c r="C397" s="7"/>
      <c r="D397" s="16"/>
      <c r="E397" s="12"/>
      <c r="F397" s="14"/>
      <c r="G397" s="14"/>
      <c r="H397" s="14"/>
      <c r="I397" s="14"/>
      <c r="J397" s="14"/>
      <c r="K397" s="14"/>
      <c r="L397" s="14"/>
      <c r="M397" s="14"/>
      <c r="N397" s="14"/>
      <c r="O397" s="14"/>
      <c r="P397" s="14"/>
      <c r="Q397" s="14"/>
      <c r="R397" s="7"/>
    </row>
    <row r="398" spans="1:18" x14ac:dyDescent="0.2">
      <c r="A398" s="7"/>
      <c r="B398" s="7"/>
      <c r="C398" s="7"/>
      <c r="D398" s="16"/>
      <c r="E398" s="12"/>
      <c r="F398" s="14"/>
      <c r="G398" s="14"/>
      <c r="H398" s="14"/>
      <c r="I398" s="14"/>
      <c r="J398" s="14"/>
      <c r="K398" s="14"/>
      <c r="L398" s="14"/>
      <c r="M398" s="14"/>
      <c r="N398" s="14"/>
      <c r="O398" s="14"/>
      <c r="P398" s="14"/>
      <c r="Q398" s="14"/>
      <c r="R398" s="7"/>
    </row>
    <row r="399" spans="1:18" x14ac:dyDescent="0.2">
      <c r="A399" s="7"/>
      <c r="B399" s="7"/>
      <c r="C399" s="7"/>
      <c r="D399" s="16"/>
      <c r="E399" s="12"/>
      <c r="F399" s="14"/>
      <c r="G399" s="14"/>
      <c r="H399" s="14"/>
      <c r="I399" s="14"/>
      <c r="J399" s="14"/>
      <c r="K399" s="14"/>
      <c r="L399" s="14"/>
      <c r="M399" s="14"/>
      <c r="N399" s="14"/>
      <c r="O399" s="14"/>
      <c r="P399" s="14"/>
      <c r="Q399" s="14"/>
      <c r="R399" s="7"/>
    </row>
    <row r="400" spans="1:18" x14ac:dyDescent="0.2">
      <c r="A400" s="7"/>
      <c r="B400" s="7"/>
      <c r="C400" s="7"/>
      <c r="D400" s="16"/>
      <c r="E400" s="12"/>
      <c r="F400" s="14"/>
      <c r="G400" s="14"/>
      <c r="H400" s="14"/>
      <c r="I400" s="14"/>
      <c r="J400" s="14"/>
      <c r="K400" s="14"/>
      <c r="L400" s="14"/>
      <c r="M400" s="14"/>
      <c r="N400" s="14"/>
      <c r="O400" s="14"/>
      <c r="P400" s="14"/>
      <c r="Q400" s="14"/>
      <c r="R400" s="7"/>
    </row>
    <row r="401" spans="1:18" x14ac:dyDescent="0.2">
      <c r="A401" s="7"/>
      <c r="B401" s="7"/>
      <c r="C401" s="7"/>
      <c r="D401" s="16"/>
      <c r="E401" s="12"/>
      <c r="F401" s="14"/>
      <c r="G401" s="14"/>
      <c r="H401" s="14"/>
      <c r="I401" s="14"/>
      <c r="J401" s="14"/>
      <c r="K401" s="14"/>
      <c r="L401" s="14"/>
      <c r="M401" s="14"/>
      <c r="N401" s="14"/>
      <c r="O401" s="14"/>
      <c r="P401" s="14"/>
      <c r="Q401" s="14"/>
      <c r="R401" s="7"/>
    </row>
    <row r="402" spans="1:18" x14ac:dyDescent="0.2">
      <c r="A402" s="7"/>
      <c r="B402" s="7"/>
      <c r="C402" s="7"/>
      <c r="D402" s="16"/>
      <c r="E402" s="12"/>
      <c r="F402" s="14"/>
      <c r="G402" s="14"/>
      <c r="H402" s="14"/>
      <c r="I402" s="14"/>
      <c r="J402" s="14"/>
      <c r="K402" s="14"/>
      <c r="L402" s="14"/>
      <c r="M402" s="14"/>
      <c r="N402" s="14"/>
      <c r="O402" s="14"/>
      <c r="P402" s="14"/>
      <c r="Q402" s="14"/>
      <c r="R402" s="7"/>
    </row>
    <row r="403" spans="1:18" x14ac:dyDescent="0.2">
      <c r="A403" s="7"/>
      <c r="B403" s="7"/>
      <c r="C403" s="7"/>
      <c r="D403" s="16"/>
      <c r="E403" s="12"/>
      <c r="F403" s="14"/>
      <c r="G403" s="14"/>
      <c r="H403" s="14"/>
      <c r="I403" s="14"/>
      <c r="J403" s="14"/>
      <c r="K403" s="14"/>
      <c r="L403" s="14"/>
      <c r="M403" s="14"/>
      <c r="N403" s="14"/>
      <c r="O403" s="14"/>
      <c r="P403" s="14"/>
      <c r="Q403" s="14"/>
      <c r="R403" s="7"/>
    </row>
    <row r="404" spans="1:18" x14ac:dyDescent="0.2">
      <c r="A404" s="7"/>
      <c r="B404" s="7"/>
      <c r="C404" s="7"/>
      <c r="D404" s="16"/>
      <c r="E404" s="12"/>
      <c r="F404" s="14"/>
      <c r="G404" s="14"/>
      <c r="H404" s="14"/>
      <c r="I404" s="14"/>
      <c r="J404" s="14"/>
      <c r="K404" s="14"/>
      <c r="L404" s="14"/>
      <c r="M404" s="14"/>
      <c r="N404" s="14"/>
      <c r="O404" s="14"/>
      <c r="P404" s="14"/>
      <c r="Q404" s="14"/>
      <c r="R404" s="7"/>
    </row>
    <row r="405" spans="1:18" x14ac:dyDescent="0.2">
      <c r="A405" s="7"/>
      <c r="B405" s="7"/>
      <c r="C405" s="7"/>
      <c r="D405" s="16"/>
      <c r="E405" s="12"/>
      <c r="F405" s="14"/>
      <c r="G405" s="14"/>
      <c r="H405" s="14"/>
      <c r="I405" s="14"/>
      <c r="J405" s="14"/>
      <c r="K405" s="14"/>
      <c r="L405" s="14"/>
      <c r="M405" s="14"/>
      <c r="N405" s="14"/>
      <c r="O405" s="14"/>
      <c r="P405" s="14"/>
      <c r="Q405" s="14"/>
      <c r="R405" s="7"/>
    </row>
  </sheetData>
  <mergeCells count="32">
    <mergeCell ref="A3:R3"/>
    <mergeCell ref="O291:R291"/>
    <mergeCell ref="A291:B291"/>
    <mergeCell ref="F5:F6"/>
    <mergeCell ref="G5:G6"/>
    <mergeCell ref="C290:F290"/>
    <mergeCell ref="N5:N6"/>
    <mergeCell ref="G290:N290"/>
    <mergeCell ref="H5:H6"/>
    <mergeCell ref="O5:O6"/>
    <mergeCell ref="M5:M6"/>
    <mergeCell ref="Q5:Q6"/>
    <mergeCell ref="J5:J6"/>
    <mergeCell ref="L5:L6"/>
    <mergeCell ref="P5:P6"/>
    <mergeCell ref="O290:R290"/>
    <mergeCell ref="Q2:R2"/>
    <mergeCell ref="A1:R1"/>
    <mergeCell ref="A290:B290"/>
    <mergeCell ref="A293:B293"/>
    <mergeCell ref="C293:F293"/>
    <mergeCell ref="G293:N293"/>
    <mergeCell ref="O293:R293"/>
    <mergeCell ref="O292:R292"/>
    <mergeCell ref="A292:B292"/>
    <mergeCell ref="C292:F292"/>
    <mergeCell ref="G292:N292"/>
    <mergeCell ref="K5:K6"/>
    <mergeCell ref="I5:I6"/>
    <mergeCell ref="C291:F291"/>
    <mergeCell ref="G291:N291"/>
    <mergeCell ref="F4:Q4"/>
  </mergeCells>
  <phoneticPr fontId="25" type="noConversion"/>
  <printOptions horizontalCentered="1"/>
  <pageMargins left="0.39370078740157483" right="0.35433070866141736" top="0.82677165354330717" bottom="0.79" header="0.31496062992125984" footer="0.36"/>
  <pageSetup scale="92" fitToHeight="0" orientation="portrait" r:id="rId1"/>
  <headerFooter alignWithMargins="0">
    <oddHeader>&amp;L&amp;"Arial Narrow,Negrita Cursiva"&amp;9Gobierno Autónomo Departamental de La Paz&amp;C&amp;"Arial,Negrita"
FORMULARIO Nº 6
SERVICIOS MATERIALES, SUMINISTROS Y ACTIVOS FIJOS&amp;R&amp;"Arial Narrow,Negrita Cursiva"&amp;9Plan Operativo Anual  2021</oddHeader>
    <oddFooter>&amp;C&amp;8&amp;P/&amp;N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D67"/>
  <sheetViews>
    <sheetView topLeftCell="A46" zoomScale="130" zoomScaleNormal="130" zoomScaleSheetLayoutView="100" workbookViewId="0">
      <selection activeCell="C72" sqref="C72"/>
    </sheetView>
  </sheetViews>
  <sheetFormatPr baseColWidth="10" defaultRowHeight="12.75" x14ac:dyDescent="0.2"/>
  <cols>
    <col min="1" max="1" width="9.7109375" style="44" customWidth="1"/>
    <col min="2" max="2" width="62.5703125" style="49" customWidth="1"/>
    <col min="3" max="3" width="19.42578125" style="44" customWidth="1"/>
    <col min="4" max="4" width="12.140625" style="44" customWidth="1"/>
    <col min="5" max="5" width="10.5703125" style="44" customWidth="1"/>
    <col min="6" max="6" width="10" style="44" customWidth="1"/>
    <col min="7" max="7" width="11.7109375" style="44" customWidth="1"/>
    <col min="8" max="16384" width="11.42578125" style="44"/>
  </cols>
  <sheetData>
    <row r="1" spans="1:3" ht="15.75" x14ac:dyDescent="0.2">
      <c r="A1" s="1855" t="s">
        <v>455</v>
      </c>
      <c r="B1" s="1855"/>
      <c r="C1" s="1855"/>
    </row>
    <row r="2" spans="1:3" ht="15.75" x14ac:dyDescent="0.2">
      <c r="A2" s="1855" t="s">
        <v>471</v>
      </c>
      <c r="B2" s="1855"/>
      <c r="C2" s="1855"/>
    </row>
    <row r="3" spans="1:3" x14ac:dyDescent="0.2">
      <c r="A3" s="456" t="s">
        <v>110</v>
      </c>
      <c r="B3" s="457"/>
      <c r="C3" s="456"/>
    </row>
    <row r="4" spans="1:3" x14ac:dyDescent="0.2">
      <c r="A4" s="582" t="s">
        <v>111</v>
      </c>
      <c r="B4" s="583" t="s">
        <v>112</v>
      </c>
      <c r="C4" s="584" t="s">
        <v>369</v>
      </c>
    </row>
    <row r="5" spans="1:3" x14ac:dyDescent="0.2">
      <c r="A5" s="573">
        <v>20000</v>
      </c>
      <c r="B5" s="574" t="s">
        <v>43</v>
      </c>
      <c r="C5" s="575">
        <f>+C6+C10+C18+C20+C24+C31</f>
        <v>0</v>
      </c>
    </row>
    <row r="6" spans="1:3" x14ac:dyDescent="0.2">
      <c r="A6" s="458">
        <v>21000</v>
      </c>
      <c r="B6" s="459" t="s">
        <v>113</v>
      </c>
      <c r="C6" s="460">
        <v>0</v>
      </c>
    </row>
    <row r="7" spans="1:3" x14ac:dyDescent="0.2">
      <c r="A7" s="461">
        <v>21100</v>
      </c>
      <c r="B7" s="462" t="s">
        <v>114</v>
      </c>
      <c r="C7" s="463">
        <v>0</v>
      </c>
    </row>
    <row r="8" spans="1:3" x14ac:dyDescent="0.2">
      <c r="A8" s="461">
        <v>21400</v>
      </c>
      <c r="B8" s="462" t="s">
        <v>115</v>
      </c>
      <c r="C8" s="463">
        <v>0</v>
      </c>
    </row>
    <row r="9" spans="1:3" x14ac:dyDescent="0.2">
      <c r="A9" s="461">
        <v>21600</v>
      </c>
      <c r="B9" s="462" t="s">
        <v>371</v>
      </c>
      <c r="C9" s="463">
        <v>0</v>
      </c>
    </row>
    <row r="10" spans="1:3" x14ac:dyDescent="0.2">
      <c r="A10" s="458">
        <v>22000</v>
      </c>
      <c r="B10" s="459" t="s">
        <v>116</v>
      </c>
      <c r="C10" s="460">
        <f>ROUND(SUM(C11:C17),0)</f>
        <v>0</v>
      </c>
    </row>
    <row r="11" spans="1:3" x14ac:dyDescent="0.2">
      <c r="A11" s="461">
        <v>22110</v>
      </c>
      <c r="B11" s="462" t="s">
        <v>117</v>
      </c>
      <c r="C11" s="463">
        <f>'FORM-6 '!R10</f>
        <v>0</v>
      </c>
    </row>
    <row r="12" spans="1:3" x14ac:dyDescent="0.2">
      <c r="A12" s="461">
        <v>22120</v>
      </c>
      <c r="B12" s="462" t="s">
        <v>118</v>
      </c>
      <c r="C12" s="463">
        <f>'FORM-6 '!R20</f>
        <v>0</v>
      </c>
    </row>
    <row r="13" spans="1:3" x14ac:dyDescent="0.2">
      <c r="A13" s="461">
        <v>22210</v>
      </c>
      <c r="B13" s="462" t="s">
        <v>153</v>
      </c>
      <c r="C13" s="463">
        <f>'FORM-6 '!R46</f>
        <v>0</v>
      </c>
    </row>
    <row r="14" spans="1:3" x14ac:dyDescent="0.2">
      <c r="A14" s="461">
        <v>22220</v>
      </c>
      <c r="B14" s="462" t="s">
        <v>154</v>
      </c>
      <c r="C14" s="463">
        <f>'FORM-6 '!R61</f>
        <v>0</v>
      </c>
    </row>
    <row r="15" spans="1:3" x14ac:dyDescent="0.2">
      <c r="A15" s="461">
        <v>22300</v>
      </c>
      <c r="B15" s="462" t="s">
        <v>119</v>
      </c>
      <c r="C15" s="463">
        <v>0</v>
      </c>
    </row>
    <row r="16" spans="1:3" x14ac:dyDescent="0.2">
      <c r="A16" s="461">
        <v>22500</v>
      </c>
      <c r="B16" s="462" t="s">
        <v>120</v>
      </c>
      <c r="C16" s="463">
        <f>'FORM-6 '!R80</f>
        <v>0</v>
      </c>
    </row>
    <row r="17" spans="1:3" x14ac:dyDescent="0.2">
      <c r="A17" s="461">
        <v>22600</v>
      </c>
      <c r="B17" s="462" t="s">
        <v>121</v>
      </c>
      <c r="C17" s="463">
        <f>'FORM-6 '!R85</f>
        <v>0</v>
      </c>
    </row>
    <row r="18" spans="1:3" x14ac:dyDescent="0.2">
      <c r="A18" s="458">
        <v>23000</v>
      </c>
      <c r="B18" s="459" t="s">
        <v>64</v>
      </c>
      <c r="C18" s="460">
        <f>ROUND(+C19,0)</f>
        <v>0</v>
      </c>
    </row>
    <row r="19" spans="1:3" x14ac:dyDescent="0.2">
      <c r="A19" s="461">
        <v>23100</v>
      </c>
      <c r="B19" s="462" t="s">
        <v>122</v>
      </c>
      <c r="C19" s="463">
        <v>0</v>
      </c>
    </row>
    <row r="20" spans="1:3" x14ac:dyDescent="0.2">
      <c r="A20" s="458">
        <v>24000</v>
      </c>
      <c r="B20" s="459" t="s">
        <v>123</v>
      </c>
      <c r="C20" s="460">
        <f>ROUND(SUM(C21:C23),0)</f>
        <v>0</v>
      </c>
    </row>
    <row r="21" spans="1:3" x14ac:dyDescent="0.2">
      <c r="A21" s="461">
        <v>24110</v>
      </c>
      <c r="B21" s="462" t="s">
        <v>372</v>
      </c>
      <c r="C21" s="463">
        <f>'FORM-6 '!R94</f>
        <v>0</v>
      </c>
    </row>
    <row r="22" spans="1:3" x14ac:dyDescent="0.2">
      <c r="A22" s="461">
        <v>24120</v>
      </c>
      <c r="B22" s="462" t="s">
        <v>373</v>
      </c>
      <c r="C22" s="463">
        <f>'FORM-6 '!R96</f>
        <v>0</v>
      </c>
    </row>
    <row r="23" spans="1:3" x14ac:dyDescent="0.2">
      <c r="A23" s="461">
        <v>24130</v>
      </c>
      <c r="B23" s="462" t="s">
        <v>374</v>
      </c>
      <c r="C23" s="463">
        <f>'FORM-6 '!R98</f>
        <v>0</v>
      </c>
    </row>
    <row r="24" spans="1:3" x14ac:dyDescent="0.2">
      <c r="A24" s="458">
        <v>25000</v>
      </c>
      <c r="B24" s="459" t="s">
        <v>124</v>
      </c>
      <c r="C24" s="460">
        <f>ROUND(SUM(C25:C30),0)</f>
        <v>0</v>
      </c>
    </row>
    <row r="25" spans="1:3" x14ac:dyDescent="0.2">
      <c r="A25" s="461">
        <v>25220</v>
      </c>
      <c r="B25" s="462" t="s">
        <v>125</v>
      </c>
      <c r="C25" s="463">
        <f>'FORM-6 '!R102</f>
        <v>0</v>
      </c>
    </row>
    <row r="26" spans="1:3" x14ac:dyDescent="0.2">
      <c r="A26" s="461">
        <v>25300</v>
      </c>
      <c r="B26" s="462" t="s">
        <v>126</v>
      </c>
      <c r="C26" s="463">
        <v>0</v>
      </c>
    </row>
    <row r="27" spans="1:3" x14ac:dyDescent="0.2">
      <c r="A27" s="461">
        <v>25400</v>
      </c>
      <c r="B27" s="462" t="s">
        <v>375</v>
      </c>
      <c r="C27" s="463">
        <f>'FORM-6 '!R114</f>
        <v>0</v>
      </c>
    </row>
    <row r="28" spans="1:3" x14ac:dyDescent="0.2">
      <c r="A28" s="461">
        <v>25500</v>
      </c>
      <c r="B28" s="462" t="s">
        <v>127</v>
      </c>
      <c r="C28" s="463">
        <f>'FORM-6 '!R117</f>
        <v>0</v>
      </c>
    </row>
    <row r="29" spans="1:3" x14ac:dyDescent="0.2">
      <c r="A29" s="461">
        <v>25600</v>
      </c>
      <c r="B29" s="462" t="s">
        <v>66</v>
      </c>
      <c r="C29" s="463">
        <f>'FORM-6 '!R120</f>
        <v>0</v>
      </c>
    </row>
    <row r="30" spans="1:3" x14ac:dyDescent="0.2">
      <c r="A30" s="461">
        <v>25700</v>
      </c>
      <c r="B30" s="462" t="s">
        <v>165</v>
      </c>
      <c r="C30" s="463">
        <f>'FORM-6 '!R128</f>
        <v>0</v>
      </c>
    </row>
    <row r="31" spans="1:3" x14ac:dyDescent="0.2">
      <c r="A31" s="458">
        <v>26000</v>
      </c>
      <c r="B31" s="459" t="s">
        <v>128</v>
      </c>
      <c r="C31" s="460">
        <f>ROUND(SUM(C32:C35),0)</f>
        <v>0</v>
      </c>
    </row>
    <row r="32" spans="1:3" x14ac:dyDescent="0.2">
      <c r="A32" s="461">
        <v>26200</v>
      </c>
      <c r="B32" s="462" t="s">
        <v>129</v>
      </c>
      <c r="C32" s="463">
        <f>'FORM-6 '!R132</f>
        <v>0</v>
      </c>
    </row>
    <row r="33" spans="1:3" x14ac:dyDescent="0.2">
      <c r="A33" s="461">
        <v>26610</v>
      </c>
      <c r="B33" s="462" t="s">
        <v>130</v>
      </c>
      <c r="C33" s="463">
        <v>0</v>
      </c>
    </row>
    <row r="34" spans="1:3" x14ac:dyDescent="0.2">
      <c r="A34" s="461">
        <v>26910</v>
      </c>
      <c r="B34" s="462" t="s">
        <v>170</v>
      </c>
      <c r="C34" s="463">
        <f>'FORM-6 '!R142</f>
        <v>0</v>
      </c>
    </row>
    <row r="35" spans="1:3" x14ac:dyDescent="0.2">
      <c r="A35" s="461">
        <v>26990</v>
      </c>
      <c r="B35" s="462" t="s">
        <v>131</v>
      </c>
      <c r="C35" s="463">
        <f>'FORM-6 '!R144</f>
        <v>0</v>
      </c>
    </row>
    <row r="36" spans="1:3" x14ac:dyDescent="0.2">
      <c r="A36" s="573">
        <v>30000</v>
      </c>
      <c r="B36" s="574" t="s">
        <v>67</v>
      </c>
      <c r="C36" s="575">
        <f>+C37+C40+C44+C46+C50</f>
        <v>0</v>
      </c>
    </row>
    <row r="37" spans="1:3" x14ac:dyDescent="0.2">
      <c r="A37" s="458">
        <v>31000</v>
      </c>
      <c r="B37" s="459" t="s">
        <v>68</v>
      </c>
      <c r="C37" s="460">
        <f>ROUND(SUM(C38:C39),0)</f>
        <v>0</v>
      </c>
    </row>
    <row r="38" spans="1:3" s="47" customFormat="1" x14ac:dyDescent="0.2">
      <c r="A38" s="461">
        <v>31110</v>
      </c>
      <c r="B38" s="462" t="s">
        <v>132</v>
      </c>
      <c r="C38" s="463">
        <f>'FORM-6 '!R149</f>
        <v>0</v>
      </c>
    </row>
    <row r="39" spans="1:3" s="47" customFormat="1" ht="25.5" x14ac:dyDescent="0.2">
      <c r="A39" s="461">
        <v>31120</v>
      </c>
      <c r="B39" s="462" t="s">
        <v>133</v>
      </c>
      <c r="C39" s="463">
        <f>'FORM-6 '!R152</f>
        <v>0</v>
      </c>
    </row>
    <row r="40" spans="1:3" x14ac:dyDescent="0.2">
      <c r="A40" s="458">
        <v>32000</v>
      </c>
      <c r="B40" s="459" t="s">
        <v>70</v>
      </c>
      <c r="C40" s="460">
        <f>ROUND(SUM(C41:C43),0)</f>
        <v>0</v>
      </c>
    </row>
    <row r="41" spans="1:3" x14ac:dyDescent="0.2">
      <c r="A41" s="461">
        <v>32100</v>
      </c>
      <c r="B41" s="462" t="s">
        <v>71</v>
      </c>
      <c r="C41" s="463">
        <f>'FORM-6 '!R156</f>
        <v>0</v>
      </c>
    </row>
    <row r="42" spans="1:3" x14ac:dyDescent="0.2">
      <c r="A42" s="461">
        <v>32200</v>
      </c>
      <c r="B42" s="462" t="s">
        <v>79</v>
      </c>
      <c r="C42" s="463">
        <f>'FORM-6 '!R169</f>
        <v>0</v>
      </c>
    </row>
    <row r="43" spans="1:3" x14ac:dyDescent="0.2">
      <c r="A43" s="461">
        <v>32500</v>
      </c>
      <c r="B43" s="462" t="s">
        <v>134</v>
      </c>
      <c r="C43" s="463">
        <v>0</v>
      </c>
    </row>
    <row r="44" spans="1:3" x14ac:dyDescent="0.2">
      <c r="A44" s="458">
        <v>33000</v>
      </c>
      <c r="B44" s="459" t="s">
        <v>135</v>
      </c>
      <c r="C44" s="460">
        <f>ROUND(+C45,0)</f>
        <v>0</v>
      </c>
    </row>
    <row r="45" spans="1:3" x14ac:dyDescent="0.2">
      <c r="A45" s="461">
        <v>33100</v>
      </c>
      <c r="B45" s="462" t="s">
        <v>136</v>
      </c>
      <c r="C45" s="463">
        <v>0</v>
      </c>
    </row>
    <row r="46" spans="1:3" x14ac:dyDescent="0.2">
      <c r="A46" s="458">
        <v>34000</v>
      </c>
      <c r="B46" s="459" t="s">
        <v>137</v>
      </c>
      <c r="C46" s="460">
        <f>ROUND(SUM(C47:C49),0)</f>
        <v>0</v>
      </c>
    </row>
    <row r="47" spans="1:3" x14ac:dyDescent="0.2">
      <c r="A47" s="461">
        <v>34110</v>
      </c>
      <c r="B47" s="462" t="s">
        <v>138</v>
      </c>
      <c r="C47" s="463">
        <f>'FORM-6 '!R181</f>
        <v>0</v>
      </c>
    </row>
    <row r="48" spans="1:3" x14ac:dyDescent="0.2">
      <c r="A48" s="461">
        <v>34300</v>
      </c>
      <c r="B48" s="462" t="s">
        <v>139</v>
      </c>
      <c r="C48" s="463">
        <f>'FORM-6 '!R185</f>
        <v>0</v>
      </c>
    </row>
    <row r="49" spans="1:3" x14ac:dyDescent="0.2">
      <c r="A49" s="461">
        <v>34500</v>
      </c>
      <c r="B49" s="462" t="s">
        <v>199</v>
      </c>
      <c r="C49" s="463">
        <v>0</v>
      </c>
    </row>
    <row r="50" spans="1:3" x14ac:dyDescent="0.2">
      <c r="A50" s="458">
        <v>39000</v>
      </c>
      <c r="B50" s="459" t="s">
        <v>85</v>
      </c>
      <c r="C50" s="460">
        <f>ROUND(SUM(C51:C55),0)</f>
        <v>0</v>
      </c>
    </row>
    <row r="51" spans="1:3" x14ac:dyDescent="0.2">
      <c r="A51" s="461">
        <v>39100</v>
      </c>
      <c r="B51" s="462" t="s">
        <v>140</v>
      </c>
      <c r="C51" s="463">
        <f>'FORM-6 '!R192</f>
        <v>0</v>
      </c>
    </row>
    <row r="52" spans="1:3" x14ac:dyDescent="0.2">
      <c r="A52" s="461">
        <v>39500</v>
      </c>
      <c r="B52" s="462" t="s">
        <v>141</v>
      </c>
      <c r="C52" s="463">
        <f>'FORM-6 '!R200</f>
        <v>0</v>
      </c>
    </row>
    <row r="53" spans="1:3" x14ac:dyDescent="0.2">
      <c r="A53" s="461">
        <v>39700</v>
      </c>
      <c r="B53" s="462" t="s">
        <v>142</v>
      </c>
      <c r="C53" s="463">
        <f>'FORM-6 '!R240</f>
        <v>0</v>
      </c>
    </row>
    <row r="54" spans="1:3" x14ac:dyDescent="0.2">
      <c r="A54" s="461">
        <v>39600</v>
      </c>
      <c r="B54" s="462" t="s">
        <v>143</v>
      </c>
      <c r="C54" s="463">
        <v>0</v>
      </c>
    </row>
    <row r="55" spans="1:3" x14ac:dyDescent="0.2">
      <c r="A55" s="461">
        <v>39800</v>
      </c>
      <c r="B55" s="462" t="s">
        <v>144</v>
      </c>
      <c r="C55" s="463">
        <v>0</v>
      </c>
    </row>
    <row r="56" spans="1:3" x14ac:dyDescent="0.2">
      <c r="A56" s="573">
        <v>40000</v>
      </c>
      <c r="B56" s="574" t="s">
        <v>87</v>
      </c>
      <c r="C56" s="575">
        <f>+C57+C61</f>
        <v>0</v>
      </c>
    </row>
    <row r="57" spans="1:3" x14ac:dyDescent="0.2">
      <c r="A57" s="458">
        <v>43000</v>
      </c>
      <c r="B57" s="459" t="s">
        <v>88</v>
      </c>
      <c r="C57" s="460">
        <f>ROUND(SUM(C58:C60),0)</f>
        <v>0</v>
      </c>
    </row>
    <row r="58" spans="1:3" x14ac:dyDescent="0.2">
      <c r="A58" s="461">
        <v>43110</v>
      </c>
      <c r="B58" s="462" t="s">
        <v>89</v>
      </c>
      <c r="C58" s="463">
        <f>'FORM-6 '!R259</f>
        <v>0</v>
      </c>
    </row>
    <row r="59" spans="1:3" x14ac:dyDescent="0.2">
      <c r="A59" s="461">
        <v>43120</v>
      </c>
      <c r="B59" s="462" t="s">
        <v>145</v>
      </c>
      <c r="C59" s="463">
        <f>'FORM-6 '!R263</f>
        <v>0</v>
      </c>
    </row>
    <row r="60" spans="1:3" x14ac:dyDescent="0.2">
      <c r="A60" s="461">
        <v>43500</v>
      </c>
      <c r="B60" s="462" t="s">
        <v>152</v>
      </c>
      <c r="C60" s="463">
        <v>0</v>
      </c>
    </row>
    <row r="61" spans="1:3" x14ac:dyDescent="0.2">
      <c r="A61" s="458">
        <v>49000</v>
      </c>
      <c r="B61" s="459" t="s">
        <v>146</v>
      </c>
      <c r="C61" s="460">
        <f>ROUND(+C62,0)</f>
        <v>0</v>
      </c>
    </row>
    <row r="62" spans="1:3" x14ac:dyDescent="0.2">
      <c r="A62" s="461">
        <v>49100</v>
      </c>
      <c r="B62" s="462" t="s">
        <v>147</v>
      </c>
      <c r="C62" s="463">
        <v>0</v>
      </c>
    </row>
    <row r="63" spans="1:3" x14ac:dyDescent="0.2">
      <c r="A63" s="573">
        <v>90000</v>
      </c>
      <c r="B63" s="574" t="s">
        <v>148</v>
      </c>
      <c r="C63" s="575">
        <f>+C64</f>
        <v>0</v>
      </c>
    </row>
    <row r="64" spans="1:3" x14ac:dyDescent="0.2">
      <c r="A64" s="458">
        <v>96000</v>
      </c>
      <c r="B64" s="459" t="s">
        <v>149</v>
      </c>
      <c r="C64" s="460">
        <f>ROUND(+C65,0)</f>
        <v>0</v>
      </c>
    </row>
    <row r="65" spans="1:4" x14ac:dyDescent="0.2">
      <c r="A65" s="461">
        <v>96100</v>
      </c>
      <c r="B65" s="462" t="s">
        <v>150</v>
      </c>
      <c r="C65" s="463">
        <v>0</v>
      </c>
    </row>
    <row r="66" spans="1:4" x14ac:dyDescent="0.2">
      <c r="A66" s="576"/>
      <c r="B66" s="577" t="s">
        <v>151</v>
      </c>
      <c r="C66" s="575">
        <f>+C5+C36+C56+C63</f>
        <v>0</v>
      </c>
      <c r="D66" s="48"/>
    </row>
    <row r="67" spans="1:4" s="49" customFormat="1" ht="25.5" customHeight="1" x14ac:dyDescent="0.2">
      <c r="A67" s="1856" t="s">
        <v>472</v>
      </c>
      <c r="B67" s="1856"/>
      <c r="C67" s="1856"/>
    </row>
  </sheetData>
  <mergeCells count="3">
    <mergeCell ref="A2:C2"/>
    <mergeCell ref="A67:C67"/>
    <mergeCell ref="A1:C1"/>
  </mergeCells>
  <phoneticPr fontId="25" type="noConversion"/>
  <printOptions horizontalCentered="1"/>
  <pageMargins left="0.62992125984251968" right="0.39370078740157483" top="0.55118110236220474" bottom="0.59055118110236227" header="0.31496062992125984" footer="0.31496062992125984"/>
  <pageSetup scale="83" orientation="portrait" r:id="rId1"/>
  <headerFooter alignWithMargins="0">
    <oddHeader>&amp;L&amp;"Arial Narrow,Negrita Cursiva"Gobierno Autónomo Deparatmental de La Paz&amp;R&amp;"Arial,Negrita Cursiva"Plan Operativo Anual 2020</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26</vt:i4>
      </vt:variant>
    </vt:vector>
  </HeadingPairs>
  <TitlesOfParts>
    <vt:vector size="36" baseType="lpstr">
      <vt:lpstr>FORM-1</vt:lpstr>
      <vt:lpstr>FORM-2</vt:lpstr>
      <vt:lpstr>FORM-3</vt:lpstr>
      <vt:lpstr>FORM-4</vt:lpstr>
      <vt:lpstr>FORM-4 (A)</vt:lpstr>
      <vt:lpstr>FORM-5</vt:lpstr>
      <vt:lpstr>FORM-5(A)Info Consultorías</vt:lpstr>
      <vt:lpstr>FORM-6 </vt:lpstr>
      <vt:lpstr>FORM-6 ResumenPppto</vt:lpstr>
      <vt:lpstr>Form.Obras y Bienes</vt:lpstr>
      <vt:lpstr>'Form.Obras y Bienes'!Área_de_impresión</vt:lpstr>
      <vt:lpstr>'FORM-1'!Área_de_impresión</vt:lpstr>
      <vt:lpstr>'FORM-3'!Área_de_impresión</vt:lpstr>
      <vt:lpstr>'FORM-4'!Área_de_impresión</vt:lpstr>
      <vt:lpstr>'FORM-4 (A)'!Área_de_impresión</vt:lpstr>
      <vt:lpstr>'FORM-5'!Área_de_impresión</vt:lpstr>
      <vt:lpstr>'FORM-5(A)Info Consultorías'!Área_de_impresión</vt:lpstr>
      <vt:lpstr>'FORM-6 '!Área_de_impresión</vt:lpstr>
      <vt:lpstr>'FORM-6 ResumenPppto'!Área_de_impresión</vt:lpstr>
      <vt:lpstr>'FORM-3'!CuartoTRIM</vt:lpstr>
      <vt:lpstr>'FORM-1'!Inicio</vt:lpstr>
      <vt:lpstr>'FORM-2'!Inicio</vt:lpstr>
      <vt:lpstr>'FORM-3'!Inicio</vt:lpstr>
      <vt:lpstr>'FORM-1'!PrimerTRIM</vt:lpstr>
      <vt:lpstr>'FORM-2'!PrimerTRIM</vt:lpstr>
      <vt:lpstr>'FORM-3'!PrimerTRIM</vt:lpstr>
      <vt:lpstr>'FORM-3'!SegundoTRIM</vt:lpstr>
      <vt:lpstr>'FORM-3'!TercerTRIM</vt:lpstr>
      <vt:lpstr>'FORM-1'!Títulos_a_imprimir</vt:lpstr>
      <vt:lpstr>'FORM-2'!Títulos_a_imprimir</vt:lpstr>
      <vt:lpstr>'FORM-3'!Títulos_a_imprimir</vt:lpstr>
      <vt:lpstr>'FORM-4'!Títulos_a_imprimir</vt:lpstr>
      <vt:lpstr>'FORM-4 (A)'!Títulos_a_imprimir</vt:lpstr>
      <vt:lpstr>'FORM-5'!Títulos_a_imprimir</vt:lpstr>
      <vt:lpstr>'FORM-6 '!Títulos_a_imprimir</vt:lpstr>
      <vt:lpstr>'FORM-6 ResumenPppto'!Títulos_a_imprimir</vt:lpstr>
    </vt:vector>
  </TitlesOfParts>
  <Company>U.Planificación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FORMPOA07</dc:title>
  <dc:creator>Mercedes Mamani J</dc:creator>
  <cp:lastModifiedBy>Administrador</cp:lastModifiedBy>
  <cp:lastPrinted>2020-11-27T01:12:59Z</cp:lastPrinted>
  <dcterms:created xsi:type="dcterms:W3CDTF">2002-01-02T20:32:42Z</dcterms:created>
  <dcterms:modified xsi:type="dcterms:W3CDTF">2021-02-01T20:18:30Z</dcterms:modified>
</cp:coreProperties>
</file>